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bachand2\Downloads\"/>
    </mc:Choice>
  </mc:AlternateContent>
  <xr:revisionPtr revIDLastSave="0" documentId="13_ncr:1_{C403F603-A75F-4E43-A068-A5827EA1FDE3}" xr6:coauthVersionLast="47" xr6:coauthVersionMax="47" xr10:uidLastSave="{00000000-0000-0000-0000-000000000000}"/>
  <bookViews>
    <workbookView xWindow="-165" yWindow="-165" windowWidth="29130" windowHeight="15930" tabRatio="857" xr2:uid="{00000000-000D-0000-FFFF-FFFF00000000}"/>
  </bookViews>
  <sheets>
    <sheet name="Title" sheetId="74" r:id="rId1"/>
    <sheet name="Input Sheet" sheetId="102" r:id="rId2"/>
    <sheet name="Balance Sheets" sheetId="38" r:id="rId3"/>
    <sheet name="BS Schedules" sheetId="37" r:id="rId4"/>
    <sheet name="Income Statement" sheetId="83" r:id="rId5"/>
    <sheet name="IS Schedules" sheetId="98" r:id="rId6"/>
    <sheet name="Ratio Analysis" sheetId="85" r:id="rId7"/>
    <sheet name="Repayment &amp; Replacement" sheetId="91" r:id="rId8"/>
    <sheet name="Additional Ratios" sheetId="93" r:id="rId9"/>
    <sheet name="DuPont" sheetId="92" r:id="rId10"/>
    <sheet name="Estimating Costs of Production" sheetId="107" r:id="rId11"/>
    <sheet name="Cost of Production Summary" sheetId="84" r:id="rId12"/>
    <sheet name="Depreciation Schedule" sheetId="99" r:id="rId13"/>
    <sheet name="Breakeven Sensitivity" sheetId="106" r:id="rId14"/>
    <sheet name="Statement of Cash Flows" sheetId="87" r:id="rId15"/>
    <sheet name="Statement of Owner Equity" sheetId="79" r:id="rId16"/>
    <sheet name="Capital Lease Schedule" sheetId="105" r:id="rId17"/>
    <sheet name="Deferred Taxes" sheetId="52" state="hidden"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0" i="102" l="1"/>
  <c r="C20" i="91"/>
  <c r="D8" i="91"/>
  <c r="C8" i="91"/>
  <c r="AD210" i="37" l="1"/>
  <c r="AC210" i="37"/>
  <c r="AB210" i="37"/>
  <c r="AA210" i="37"/>
  <c r="Z210" i="37"/>
  <c r="S210" i="37"/>
  <c r="R210" i="37"/>
  <c r="Q210" i="37"/>
  <c r="P210" i="37"/>
  <c r="O210" i="37"/>
  <c r="H210" i="37"/>
  <c r="I48" i="83" s="1"/>
  <c r="H48" i="83" l="1"/>
  <c r="AC24" i="37" l="1"/>
  <c r="AC23" i="37"/>
  <c r="AC22" i="37"/>
  <c r="AC21" i="37"/>
  <c r="AC20" i="37"/>
  <c r="AC19" i="37"/>
  <c r="AC17" i="37"/>
  <c r="R24" i="37"/>
  <c r="R23" i="37"/>
  <c r="R22" i="37"/>
  <c r="R21" i="37"/>
  <c r="R20" i="37"/>
  <c r="R19" i="37"/>
  <c r="R25" i="37" s="1"/>
  <c r="R17" i="37"/>
  <c r="G17" i="37"/>
  <c r="AC12" i="37"/>
  <c r="R12" i="37"/>
  <c r="G23" i="37"/>
  <c r="G24" i="37"/>
  <c r="L8" i="99"/>
  <c r="L14" i="99"/>
  <c r="L15" i="99"/>
  <c r="L16" i="99"/>
  <c r="L17" i="99"/>
  <c r="L18" i="99"/>
  <c r="L19" i="99"/>
  <c r="L20" i="99"/>
  <c r="L21" i="99"/>
  <c r="L22" i="99"/>
  <c r="L23" i="99"/>
  <c r="L24" i="99"/>
  <c r="L25" i="99"/>
  <c r="L26" i="99"/>
  <c r="L27" i="99"/>
  <c r="L28" i="99"/>
  <c r="L29" i="99"/>
  <c r="L30" i="99"/>
  <c r="L31" i="99"/>
  <c r="L32" i="99"/>
  <c r="L33" i="99"/>
  <c r="L34" i="99"/>
  <c r="L35" i="99"/>
  <c r="L36" i="99"/>
  <c r="L37" i="99"/>
  <c r="L38" i="99"/>
  <c r="L39" i="99"/>
  <c r="L40" i="99"/>
  <c r="L41" i="99"/>
  <c r="L42" i="99"/>
  <c r="L43" i="99"/>
  <c r="L44" i="99"/>
  <c r="L45" i="99"/>
  <c r="L46" i="99"/>
  <c r="L47" i="99"/>
  <c r="L48" i="99"/>
  <c r="L49" i="99"/>
  <c r="L50" i="99"/>
  <c r="L51" i="99"/>
  <c r="L52" i="99"/>
  <c r="L53" i="99"/>
  <c r="L54" i="99"/>
  <c r="L55" i="99"/>
  <c r="L56" i="99"/>
  <c r="L57" i="99"/>
  <c r="L58" i="99"/>
  <c r="L59" i="99"/>
  <c r="L60" i="99"/>
  <c r="L61" i="99"/>
  <c r="L62" i="99"/>
  <c r="L85" i="99"/>
  <c r="L86" i="99"/>
  <c r="L87" i="99"/>
  <c r="L88" i="99"/>
  <c r="L89" i="99"/>
  <c r="L90" i="99"/>
  <c r="L91" i="99"/>
  <c r="L92" i="99"/>
  <c r="L93" i="99"/>
  <c r="L94" i="99"/>
  <c r="L95" i="99"/>
  <c r="L96" i="99"/>
  <c r="L97" i="99"/>
  <c r="L84" i="99"/>
  <c r="L65" i="99"/>
  <c r="L66" i="99"/>
  <c r="L67" i="99"/>
  <c r="L68" i="99"/>
  <c r="L69" i="99"/>
  <c r="L70" i="99"/>
  <c r="L71" i="99"/>
  <c r="L72" i="99"/>
  <c r="L73" i="99"/>
  <c r="L74" i="99"/>
  <c r="L75" i="99"/>
  <c r="L76" i="99"/>
  <c r="L77" i="99"/>
  <c r="L78" i="99"/>
  <c r="L79" i="99"/>
  <c r="L80" i="99"/>
  <c r="L81" i="99"/>
  <c r="L82" i="99"/>
  <c r="L64" i="99"/>
  <c r="N33" i="85"/>
  <c r="L33" i="85"/>
  <c r="J33" i="85"/>
  <c r="AB113" i="37"/>
  <c r="AC113" i="37" s="1"/>
  <c r="F113" i="37"/>
  <c r="G113" i="37" s="1"/>
  <c r="AB103" i="37"/>
  <c r="AC103" i="37" s="1"/>
  <c r="AB104" i="37"/>
  <c r="AC104" i="37" s="1"/>
  <c r="F103" i="37"/>
  <c r="G103" i="37" s="1"/>
  <c r="F104" i="37"/>
  <c r="G104" i="37" s="1"/>
  <c r="AB83" i="37"/>
  <c r="AC83" i="37" s="1"/>
  <c r="AB79" i="37"/>
  <c r="AC79" i="37" s="1"/>
  <c r="Q83" i="37"/>
  <c r="R83" i="37" s="1"/>
  <c r="Q79" i="37"/>
  <c r="R79" i="37" s="1"/>
  <c r="F83" i="37"/>
  <c r="G83" i="37" s="1"/>
  <c r="F79" i="37"/>
  <c r="G79" i="37" s="1"/>
  <c r="AC25" i="37" l="1"/>
  <c r="L13" i="99"/>
  <c r="L5" i="99" s="1"/>
  <c r="L83" i="99"/>
  <c r="L7" i="99" s="1"/>
  <c r="L63" i="99"/>
  <c r="L6" i="99" s="1"/>
  <c r="I287" i="37" l="1"/>
  <c r="I288" i="37"/>
  <c r="I289" i="37"/>
  <c r="I290" i="37"/>
  <c r="I286" i="37"/>
  <c r="I272" i="37"/>
  <c r="I273" i="37"/>
  <c r="I274" i="37"/>
  <c r="I275" i="37"/>
  <c r="I276" i="37"/>
  <c r="I277" i="37"/>
  <c r="I278" i="37"/>
  <c r="I279" i="37"/>
  <c r="I280" i="37"/>
  <c r="I281" i="37"/>
  <c r="I282" i="37"/>
  <c r="I271" i="37"/>
  <c r="I263" i="37"/>
  <c r="I264" i="37"/>
  <c r="I265" i="37"/>
  <c r="I266" i="37"/>
  <c r="I262" i="37"/>
  <c r="I255" i="37"/>
  <c r="I256" i="37"/>
  <c r="I257" i="37"/>
  <c r="I258" i="37"/>
  <c r="I254" i="37"/>
  <c r="I244" i="37"/>
  <c r="I245" i="37"/>
  <c r="I246" i="37"/>
  <c r="I247" i="37"/>
  <c r="I248" i="37"/>
  <c r="I249" i="37"/>
  <c r="I250" i="37"/>
  <c r="I251" i="37"/>
  <c r="I243" i="37"/>
  <c r="C16" i="91"/>
  <c r="G20" i="37" l="1"/>
  <c r="G21" i="37"/>
  <c r="G22" i="37"/>
  <c r="I5" i="105" l="1"/>
  <c r="M5" i="105"/>
  <c r="J5" i="105"/>
  <c r="L5" i="105"/>
  <c r="N5" i="105"/>
  <c r="I6" i="105"/>
  <c r="K6" i="105" s="1"/>
  <c r="M6" i="105"/>
  <c r="J6" i="105"/>
  <c r="L6" i="105"/>
  <c r="N6" i="105"/>
  <c r="I7" i="105"/>
  <c r="M7" i="105"/>
  <c r="J7" i="105"/>
  <c r="L7" i="105"/>
  <c r="N7" i="105"/>
  <c r="I8" i="105"/>
  <c r="K8" i="105" s="1"/>
  <c r="M8" i="105"/>
  <c r="J8" i="105"/>
  <c r="L8" i="105"/>
  <c r="N8" i="105"/>
  <c r="I9" i="105"/>
  <c r="M9" i="105"/>
  <c r="J9" i="105"/>
  <c r="L9" i="105"/>
  <c r="N9" i="105"/>
  <c r="I10" i="105"/>
  <c r="M10" i="105"/>
  <c r="J10" i="105"/>
  <c r="L10" i="105"/>
  <c r="N10" i="105"/>
  <c r="B69" i="83"/>
  <c r="K9" i="105" l="1"/>
  <c r="K7" i="105"/>
  <c r="K10" i="105"/>
  <c r="K5" i="105"/>
  <c r="B2" i="107"/>
  <c r="C25" i="91" l="1"/>
  <c r="C12" i="91"/>
  <c r="C18" i="91" s="1"/>
  <c r="G31" i="85" l="1"/>
  <c r="G3" i="85" l="1"/>
  <c r="G33" i="85" s="1"/>
  <c r="N17" i="85" l="1"/>
  <c r="M17" i="85"/>
  <c r="L17" i="85"/>
  <c r="K17" i="85"/>
  <c r="I17" i="85"/>
  <c r="H17" i="85"/>
  <c r="Q113" i="37" l="1"/>
  <c r="R113" i="37" s="1"/>
  <c r="Q103" i="37"/>
  <c r="R103" i="37" s="1"/>
  <c r="Q104" i="37"/>
  <c r="R104" i="37" s="1"/>
  <c r="D50" i="98" l="1"/>
  <c r="G19" i="37" l="1"/>
  <c r="G25" i="37" s="1"/>
  <c r="I8" i="38" l="1"/>
  <c r="D6" i="98" s="1"/>
  <c r="H8" i="38"/>
  <c r="G8" i="38"/>
  <c r="D8" i="98" s="1"/>
  <c r="F8" i="38"/>
  <c r="I9" i="38"/>
  <c r="D7" i="98" s="1"/>
  <c r="H9" i="38"/>
  <c r="G9" i="38"/>
  <c r="D9" i="98" s="1"/>
  <c r="F9" i="38"/>
  <c r="D10" i="98" l="1"/>
  <c r="F16" i="83" s="1"/>
  <c r="D11" i="98"/>
  <c r="G16" i="83" s="1"/>
  <c r="C44" i="107"/>
  <c r="C43" i="107"/>
  <c r="C42" i="107"/>
  <c r="C40" i="107"/>
  <c r="C38" i="107"/>
  <c r="C39" i="107"/>
  <c r="C37" i="107"/>
  <c r="C35" i="107"/>
  <c r="C6" i="107"/>
  <c r="C7" i="107"/>
  <c r="C8" i="107"/>
  <c r="C9" i="107"/>
  <c r="C10" i="107"/>
  <c r="C11" i="107"/>
  <c r="C12" i="107"/>
  <c r="C13" i="107"/>
  <c r="C14" i="107"/>
  <c r="C15" i="107"/>
  <c r="C16" i="107"/>
  <c r="C17" i="107"/>
  <c r="C18" i="107"/>
  <c r="C19" i="107"/>
  <c r="C20" i="107"/>
  <c r="C21" i="107"/>
  <c r="C22" i="107"/>
  <c r="C23" i="107"/>
  <c r="C24" i="107"/>
  <c r="C25" i="107"/>
  <c r="C26" i="107"/>
  <c r="C27" i="107"/>
  <c r="C28" i="107"/>
  <c r="C29" i="107"/>
  <c r="C30" i="107"/>
  <c r="C31" i="107"/>
  <c r="C32" i="107"/>
  <c r="C33" i="107"/>
  <c r="C34" i="107"/>
  <c r="C5" i="107"/>
  <c r="E44" i="87"/>
  <c r="E37" i="87"/>
  <c r="F71" i="83"/>
  <c r="D43" i="98"/>
  <c r="AB117" i="37" l="1"/>
  <c r="AC117" i="37" s="1"/>
  <c r="AB116" i="37"/>
  <c r="AC116" i="37" s="1"/>
  <c r="AB115" i="37"/>
  <c r="AC115" i="37" s="1"/>
  <c r="AB114" i="37"/>
  <c r="AC114" i="37" s="1"/>
  <c r="AB112" i="37"/>
  <c r="AC112" i="37" s="1"/>
  <c r="AB111" i="37"/>
  <c r="AB110" i="37"/>
  <c r="AC110" i="37" s="1"/>
  <c r="AB107" i="37"/>
  <c r="AC107" i="37" s="1"/>
  <c r="AB106" i="37"/>
  <c r="AC106" i="37" s="1"/>
  <c r="AB105" i="37"/>
  <c r="AC105" i="37" s="1"/>
  <c r="AB102" i="37"/>
  <c r="AC102" i="37" s="1"/>
  <c r="AB101" i="37"/>
  <c r="AC101" i="37" s="1"/>
  <c r="AB100" i="37"/>
  <c r="AB97" i="37"/>
  <c r="AC97" i="37" s="1"/>
  <c r="AB96" i="37"/>
  <c r="AC96" i="37" s="1"/>
  <c r="AB95" i="37"/>
  <c r="AC95" i="37" s="1"/>
  <c r="AB94" i="37"/>
  <c r="AC94" i="37" s="1"/>
  <c r="AB93" i="37"/>
  <c r="AC93" i="37" s="1"/>
  <c r="AB92" i="37"/>
  <c r="AC92" i="37" s="1"/>
  <c r="AB91" i="37"/>
  <c r="AB82" i="37"/>
  <c r="AC82" i="37" s="1"/>
  <c r="AB81" i="37"/>
  <c r="AC81" i="37" s="1"/>
  <c r="AB80" i="37"/>
  <c r="AC80" i="37" s="1"/>
  <c r="AB78" i="37"/>
  <c r="AC78" i="37" s="1"/>
  <c r="AB77" i="37"/>
  <c r="AC77" i="37" s="1"/>
  <c r="AB76" i="37"/>
  <c r="AC73" i="37"/>
  <c r="AB73" i="37" s="1"/>
  <c r="AC72" i="37"/>
  <c r="AB72" i="37" s="1"/>
  <c r="AC71" i="37"/>
  <c r="AB71" i="37" s="1"/>
  <c r="AC70" i="37"/>
  <c r="AB70" i="37" s="1"/>
  <c r="AC69" i="37"/>
  <c r="AB69" i="37" s="1"/>
  <c r="AC68" i="37"/>
  <c r="AB68" i="37" s="1"/>
  <c r="AC67" i="37"/>
  <c r="AB67" i="37" s="1"/>
  <c r="AC66" i="37"/>
  <c r="AC63" i="37"/>
  <c r="AB63" i="37" s="1"/>
  <c r="AC62" i="37"/>
  <c r="AB62" i="37" s="1"/>
  <c r="AC61" i="37"/>
  <c r="AB61" i="37" s="1"/>
  <c r="AC60" i="37"/>
  <c r="AB60" i="37" s="1"/>
  <c r="AC59" i="37"/>
  <c r="AB59" i="37" s="1"/>
  <c r="AC58" i="37"/>
  <c r="AB58" i="37" s="1"/>
  <c r="AC57" i="37"/>
  <c r="AB57" i="37" s="1"/>
  <c r="AC56" i="37"/>
  <c r="AB56" i="37" s="1"/>
  <c r="AC55" i="37"/>
  <c r="Q117" i="37"/>
  <c r="R117" i="37" s="1"/>
  <c r="Q116" i="37"/>
  <c r="R116" i="37" s="1"/>
  <c r="Q115" i="37"/>
  <c r="R115" i="37" s="1"/>
  <c r="Q114" i="37"/>
  <c r="R114" i="37" s="1"/>
  <c r="Q112" i="37"/>
  <c r="R112" i="37" s="1"/>
  <c r="Q111" i="37"/>
  <c r="R111" i="37" s="1"/>
  <c r="Q110" i="37"/>
  <c r="R110" i="37" s="1"/>
  <c r="Q107" i="37"/>
  <c r="R107" i="37" s="1"/>
  <c r="Q106" i="37"/>
  <c r="R106" i="37" s="1"/>
  <c r="Q105" i="37"/>
  <c r="R105" i="37" s="1"/>
  <c r="Q102" i="37"/>
  <c r="R102" i="37" s="1"/>
  <c r="Q101" i="37"/>
  <c r="R101" i="37" s="1"/>
  <c r="Q100" i="37"/>
  <c r="Q97" i="37"/>
  <c r="R97" i="37" s="1"/>
  <c r="Q96" i="37"/>
  <c r="R96" i="37" s="1"/>
  <c r="Q95" i="37"/>
  <c r="R95" i="37" s="1"/>
  <c r="Q94" i="37"/>
  <c r="R94" i="37" s="1"/>
  <c r="Q93" i="37"/>
  <c r="R93" i="37" s="1"/>
  <c r="Q92" i="37"/>
  <c r="R92" i="37" s="1"/>
  <c r="Q91" i="37"/>
  <c r="Q82" i="37"/>
  <c r="R82" i="37" s="1"/>
  <c r="Q81" i="37"/>
  <c r="R81" i="37" s="1"/>
  <c r="Q80" i="37"/>
  <c r="R80" i="37" s="1"/>
  <c r="Q78" i="37"/>
  <c r="R78" i="37" s="1"/>
  <c r="Q77" i="37"/>
  <c r="R77" i="37" s="1"/>
  <c r="Q76" i="37"/>
  <c r="R76" i="37" s="1"/>
  <c r="R73" i="37"/>
  <c r="Q73" i="37" s="1"/>
  <c r="R72" i="37"/>
  <c r="Q72" i="37" s="1"/>
  <c r="R71" i="37"/>
  <c r="Q71" i="37" s="1"/>
  <c r="R70" i="37"/>
  <c r="Q70" i="37" s="1"/>
  <c r="R69" i="37"/>
  <c r="Q69" i="37" s="1"/>
  <c r="R68" i="37"/>
  <c r="Q68" i="37" s="1"/>
  <c r="R67" i="37"/>
  <c r="Q67" i="37" s="1"/>
  <c r="R66" i="37"/>
  <c r="R63" i="37"/>
  <c r="Q63" i="37" s="1"/>
  <c r="R62" i="37"/>
  <c r="Q62" i="37" s="1"/>
  <c r="R61" i="37"/>
  <c r="Q61" i="37" s="1"/>
  <c r="R60" i="37"/>
  <c r="Q60" i="37" s="1"/>
  <c r="R59" i="37"/>
  <c r="Q59" i="37" s="1"/>
  <c r="R58" i="37"/>
  <c r="Q58" i="37" s="1"/>
  <c r="R57" i="37"/>
  <c r="Q57" i="37" s="1"/>
  <c r="R56" i="37"/>
  <c r="R55" i="37"/>
  <c r="Q55" i="37" s="1"/>
  <c r="F114" i="37"/>
  <c r="G114" i="37" s="1"/>
  <c r="F101" i="37"/>
  <c r="G101" i="37" s="1"/>
  <c r="F102" i="37"/>
  <c r="G102" i="37" s="1"/>
  <c r="F105" i="37"/>
  <c r="G105" i="37" s="1"/>
  <c r="F106" i="37"/>
  <c r="G106" i="37" s="1"/>
  <c r="F107" i="37"/>
  <c r="G107" i="37" s="1"/>
  <c r="F100" i="37"/>
  <c r="G100" i="37" s="1"/>
  <c r="AB108" i="37" l="1"/>
  <c r="R84" i="37"/>
  <c r="AB84" i="37"/>
  <c r="Q98" i="37"/>
  <c r="AC74" i="37"/>
  <c r="AB118" i="37"/>
  <c r="AB98" i="37"/>
  <c r="R64" i="37"/>
  <c r="Q84" i="37"/>
  <c r="AC64" i="37"/>
  <c r="AB55" i="37"/>
  <c r="AB64" i="37" s="1"/>
  <c r="R91" i="37"/>
  <c r="R98" i="37" s="1"/>
  <c r="Q108" i="37"/>
  <c r="R100" i="37"/>
  <c r="R108" i="37" s="1"/>
  <c r="G108" i="37"/>
  <c r="F108" i="37"/>
  <c r="R74" i="37"/>
  <c r="AC76" i="37"/>
  <c r="AC84" i="37" s="1"/>
  <c r="AC91" i="37"/>
  <c r="AC98" i="37" s="1"/>
  <c r="AC100" i="37"/>
  <c r="AC108" i="37" s="1"/>
  <c r="AC111" i="37"/>
  <c r="AC118" i="37" s="1"/>
  <c r="AB66" i="37"/>
  <c r="AB74" i="37" s="1"/>
  <c r="R118" i="37"/>
  <c r="Q56" i="37"/>
  <c r="Q64" i="37" s="1"/>
  <c r="Q118" i="37"/>
  <c r="Q66" i="37"/>
  <c r="Q74" i="37" s="1"/>
  <c r="AB119" i="37" l="1"/>
  <c r="R85" i="37"/>
  <c r="I12" i="38" s="1"/>
  <c r="J8" i="98" s="1"/>
  <c r="AC85" i="37"/>
  <c r="Q119" i="37"/>
  <c r="H13" i="38" s="1"/>
  <c r="R119" i="37"/>
  <c r="I13" i="38" s="1"/>
  <c r="J13" i="98" s="1"/>
  <c r="Q85" i="37"/>
  <c r="H12" i="38" s="1"/>
  <c r="AC119" i="37"/>
  <c r="AB85" i="37"/>
  <c r="I4" i="106" l="1"/>
  <c r="E49" i="93" l="1"/>
  <c r="N3" i="84"/>
  <c r="M3" i="84"/>
  <c r="N4" i="84"/>
  <c r="M4" i="84"/>
  <c r="H2" i="107"/>
  <c r="F2" i="107"/>
  <c r="L4" i="84"/>
  <c r="I4" i="84"/>
  <c r="K3" i="84"/>
  <c r="J3" i="84"/>
  <c r="D32" i="107"/>
  <c r="K32" i="107" s="1"/>
  <c r="L32" i="107" s="1"/>
  <c r="N12" i="84" l="1"/>
  <c r="M12" i="84"/>
  <c r="F32" i="107"/>
  <c r="H32" i="107"/>
  <c r="L25" i="84" s="1"/>
  <c r="N25" i="84" s="1"/>
  <c r="I25" i="84" l="1"/>
  <c r="M25" i="84"/>
  <c r="B24" i="105" l="1"/>
  <c r="C2" i="87"/>
  <c r="B25" i="105" l="1"/>
  <c r="B17" i="105"/>
  <c r="I53" i="105"/>
  <c r="H53" i="105"/>
  <c r="D53" i="105"/>
  <c r="C53" i="105"/>
  <c r="H52" i="105" s="1"/>
  <c r="I52" i="105"/>
  <c r="D52" i="105"/>
  <c r="C52" i="105"/>
  <c r="H51" i="105" s="1"/>
  <c r="I51" i="105"/>
  <c r="D51" i="105"/>
  <c r="C51" i="105"/>
  <c r="G51" i="105" s="1"/>
  <c r="I50" i="105"/>
  <c r="D50" i="105"/>
  <c r="C50" i="105"/>
  <c r="G50" i="105" s="1"/>
  <c r="I49" i="105"/>
  <c r="D49" i="105"/>
  <c r="C49" i="105"/>
  <c r="G49" i="105" s="1"/>
  <c r="I48" i="105"/>
  <c r="D48" i="105"/>
  <c r="C48" i="105"/>
  <c r="G48" i="105" s="1"/>
  <c r="I47" i="105"/>
  <c r="D47" i="105"/>
  <c r="C47" i="105"/>
  <c r="G47" i="105" s="1"/>
  <c r="I46" i="105"/>
  <c r="D46" i="105"/>
  <c r="C46" i="105"/>
  <c r="G46" i="105" s="1"/>
  <c r="I45" i="105"/>
  <c r="D45" i="105"/>
  <c r="C45" i="105"/>
  <c r="G45" i="105" s="1"/>
  <c r="I44" i="105"/>
  <c r="D44" i="105"/>
  <c r="C44" i="105"/>
  <c r="H43" i="105" s="1"/>
  <c r="I43" i="105"/>
  <c r="D43" i="105"/>
  <c r="C43" i="105"/>
  <c r="G43" i="105" s="1"/>
  <c r="I42" i="105"/>
  <c r="D42" i="105"/>
  <c r="C42" i="105"/>
  <c r="I41" i="105"/>
  <c r="D41" i="105"/>
  <c r="C41" i="105"/>
  <c r="G41" i="105" s="1"/>
  <c r="I40" i="105"/>
  <c r="D40" i="105"/>
  <c r="C40" i="105"/>
  <c r="G40" i="105" s="1"/>
  <c r="I39" i="105"/>
  <c r="D39" i="105"/>
  <c r="C39" i="105"/>
  <c r="G39" i="105" s="1"/>
  <c r="I38" i="105"/>
  <c r="D38" i="105"/>
  <c r="C38" i="105"/>
  <c r="G38" i="105" s="1"/>
  <c r="I37" i="105"/>
  <c r="D37" i="105"/>
  <c r="C37" i="105"/>
  <c r="G37" i="105" s="1"/>
  <c r="I36" i="105"/>
  <c r="D36" i="105"/>
  <c r="C36" i="105"/>
  <c r="H35" i="105" s="1"/>
  <c r="I35" i="105"/>
  <c r="D35" i="105"/>
  <c r="C35" i="105"/>
  <c r="G35" i="105" s="1"/>
  <c r="I34" i="105"/>
  <c r="D34" i="105"/>
  <c r="C34" i="105"/>
  <c r="G34" i="105" s="1"/>
  <c r="I33" i="105"/>
  <c r="D33" i="105"/>
  <c r="C33" i="105"/>
  <c r="H32" i="105" s="1"/>
  <c r="I32" i="105"/>
  <c r="D32" i="105"/>
  <c r="C32" i="105"/>
  <c r="G32" i="105" s="1"/>
  <c r="I31" i="105"/>
  <c r="D31" i="105"/>
  <c r="C31" i="105"/>
  <c r="G31" i="105" s="1"/>
  <c r="I30" i="105"/>
  <c r="D30" i="105"/>
  <c r="C30" i="105"/>
  <c r="G30" i="105" s="1"/>
  <c r="I29" i="105"/>
  <c r="I27" i="105"/>
  <c r="H10" i="105"/>
  <c r="H9" i="105"/>
  <c r="H8" i="105"/>
  <c r="H7" i="105"/>
  <c r="H6" i="105"/>
  <c r="AC6" i="105" s="1"/>
  <c r="AD6" i="105" s="1"/>
  <c r="AE6" i="105" s="1"/>
  <c r="AF6" i="105" s="1"/>
  <c r="AG6" i="105" s="1"/>
  <c r="AH6" i="105" s="1"/>
  <c r="AI6" i="105" s="1"/>
  <c r="AJ6" i="105" s="1"/>
  <c r="AK6" i="105" s="1"/>
  <c r="AL6" i="105" s="1"/>
  <c r="AM6" i="105" s="1"/>
  <c r="AN6" i="105" s="1"/>
  <c r="AO6" i="105" s="1"/>
  <c r="AP6" i="105" s="1"/>
  <c r="AQ6" i="105" s="1"/>
  <c r="H5" i="105"/>
  <c r="AC5" i="105" s="1"/>
  <c r="AD5" i="105" s="1"/>
  <c r="AE5" i="105" s="1"/>
  <c r="AF5" i="105" s="1"/>
  <c r="AG5" i="105" s="1"/>
  <c r="AH5" i="105" s="1"/>
  <c r="AI5" i="105" s="1"/>
  <c r="AJ5" i="105" s="1"/>
  <c r="AK5" i="105" s="1"/>
  <c r="AL5" i="105" s="1"/>
  <c r="AM5" i="105" s="1"/>
  <c r="AN5" i="105" s="1"/>
  <c r="AO5" i="105" s="1"/>
  <c r="AP5" i="105" s="1"/>
  <c r="AQ5" i="105" s="1"/>
  <c r="H4" i="105"/>
  <c r="N4" i="105" l="1"/>
  <c r="I4" i="105"/>
  <c r="M4" i="105"/>
  <c r="C27" i="105"/>
  <c r="H26" i="105" s="1"/>
  <c r="L24" i="105"/>
  <c r="O24" i="105" s="1"/>
  <c r="O25" i="105" s="1"/>
  <c r="B26" i="105"/>
  <c r="L25" i="105"/>
  <c r="D29" i="105"/>
  <c r="H33" i="105"/>
  <c r="H48" i="105"/>
  <c r="I28" i="105"/>
  <c r="C29" i="105"/>
  <c r="H28" i="105" s="1"/>
  <c r="F42" i="105"/>
  <c r="H40" i="105"/>
  <c r="C26" i="105"/>
  <c r="H25" i="105" s="1"/>
  <c r="D26" i="105"/>
  <c r="D27" i="105"/>
  <c r="D28" i="105"/>
  <c r="C28" i="105"/>
  <c r="H27" i="105" s="1"/>
  <c r="C24" i="105"/>
  <c r="G24" i="105" s="1"/>
  <c r="D24" i="105"/>
  <c r="I24" i="105"/>
  <c r="I25" i="105"/>
  <c r="F49" i="105"/>
  <c r="AC4" i="105"/>
  <c r="AD4" i="105" s="1"/>
  <c r="AE4" i="105" s="1"/>
  <c r="AF4" i="105" s="1"/>
  <c r="AG4" i="105" s="1"/>
  <c r="AC10" i="105"/>
  <c r="AD10" i="105" s="1"/>
  <c r="AE10" i="105" s="1"/>
  <c r="AF10" i="105" s="1"/>
  <c r="AG10" i="105" s="1"/>
  <c r="AH10" i="105" s="1"/>
  <c r="AI10" i="105" s="1"/>
  <c r="AJ10" i="105" s="1"/>
  <c r="AK10" i="105" s="1"/>
  <c r="AL10" i="105" s="1"/>
  <c r="AM10" i="105" s="1"/>
  <c r="AN10" i="105" s="1"/>
  <c r="AO10" i="105" s="1"/>
  <c r="AP10" i="105" s="1"/>
  <c r="AQ10" i="105" s="1"/>
  <c r="AC9" i="105"/>
  <c r="AD9" i="105" s="1"/>
  <c r="AE9" i="105" s="1"/>
  <c r="AF9" i="105" s="1"/>
  <c r="AG9" i="105" s="1"/>
  <c r="AH9" i="105" s="1"/>
  <c r="AI9" i="105" s="1"/>
  <c r="AJ9" i="105" s="1"/>
  <c r="AK9" i="105" s="1"/>
  <c r="AL9" i="105" s="1"/>
  <c r="AM9" i="105" s="1"/>
  <c r="AN9" i="105" s="1"/>
  <c r="AO9" i="105" s="1"/>
  <c r="AP9" i="105" s="1"/>
  <c r="AQ9" i="105" s="1"/>
  <c r="AC8" i="105"/>
  <c r="AD8" i="105" s="1"/>
  <c r="AE8" i="105" s="1"/>
  <c r="AF8" i="105" s="1"/>
  <c r="AG8" i="105" s="1"/>
  <c r="AH8" i="105" s="1"/>
  <c r="AI8" i="105" s="1"/>
  <c r="AJ8" i="105" s="1"/>
  <c r="AK8" i="105" s="1"/>
  <c r="AL8" i="105" s="1"/>
  <c r="AM8" i="105" s="1"/>
  <c r="AN8" i="105" s="1"/>
  <c r="AO8" i="105" s="1"/>
  <c r="AP8" i="105" s="1"/>
  <c r="AQ8" i="105" s="1"/>
  <c r="AC7" i="105"/>
  <c r="AD7" i="105" s="1"/>
  <c r="AE7" i="105" s="1"/>
  <c r="AF7" i="105" s="1"/>
  <c r="AG7" i="105" s="1"/>
  <c r="AH7" i="105" s="1"/>
  <c r="AI7" i="105" s="1"/>
  <c r="AJ7" i="105" s="1"/>
  <c r="AK7" i="105" s="1"/>
  <c r="AL7" i="105" s="1"/>
  <c r="AM7" i="105" s="1"/>
  <c r="AN7" i="105" s="1"/>
  <c r="AO7" i="105" s="1"/>
  <c r="AP7" i="105" s="1"/>
  <c r="AQ7" i="105" s="1"/>
  <c r="F33" i="105"/>
  <c r="H29" i="105"/>
  <c r="H49" i="105"/>
  <c r="H37" i="105"/>
  <c r="H46" i="105"/>
  <c r="K24" i="105"/>
  <c r="K25" i="105" s="1"/>
  <c r="K26" i="105" s="1"/>
  <c r="K27" i="105" s="1"/>
  <c r="K28" i="105" s="1"/>
  <c r="K29" i="105" s="1"/>
  <c r="K30" i="105" s="1"/>
  <c r="K31" i="105" s="1"/>
  <c r="K32" i="105" s="1"/>
  <c r="K33" i="105" s="1"/>
  <c r="K34" i="105" s="1"/>
  <c r="K35" i="105" s="1"/>
  <c r="K36" i="105" s="1"/>
  <c r="K37" i="105" s="1"/>
  <c r="K38" i="105" s="1"/>
  <c r="K39" i="105" s="1"/>
  <c r="K40" i="105" s="1"/>
  <c r="K41" i="105" s="1"/>
  <c r="K42" i="105" s="1"/>
  <c r="K43" i="105" s="1"/>
  <c r="K44" i="105" s="1"/>
  <c r="K45" i="105" s="1"/>
  <c r="K46" i="105" s="1"/>
  <c r="K47" i="105" s="1"/>
  <c r="K48" i="105" s="1"/>
  <c r="K49" i="105" s="1"/>
  <c r="K50" i="105" s="1"/>
  <c r="K51" i="105" s="1"/>
  <c r="K52" i="105" s="1"/>
  <c r="K53" i="105" s="1"/>
  <c r="F47" i="105"/>
  <c r="F38" i="105"/>
  <c r="C25" i="105"/>
  <c r="F34" i="105"/>
  <c r="D25" i="105"/>
  <c r="H38" i="105"/>
  <c r="I26" i="105"/>
  <c r="F39" i="105"/>
  <c r="H50" i="105"/>
  <c r="F51" i="105"/>
  <c r="G33" i="105"/>
  <c r="F30" i="105"/>
  <c r="F41" i="105"/>
  <c r="H45" i="105"/>
  <c r="H30" i="105"/>
  <c r="H41" i="105"/>
  <c r="F53" i="105"/>
  <c r="F46" i="105"/>
  <c r="F31" i="105"/>
  <c r="F50" i="105"/>
  <c r="G53" i="105"/>
  <c r="G42" i="105"/>
  <c r="H31" i="105"/>
  <c r="F36" i="105"/>
  <c r="H39" i="105"/>
  <c r="F44" i="105"/>
  <c r="H47" i="105"/>
  <c r="F52" i="105"/>
  <c r="H34" i="105"/>
  <c r="H42" i="105"/>
  <c r="G36" i="105"/>
  <c r="G44" i="105"/>
  <c r="G52" i="105"/>
  <c r="H36" i="105"/>
  <c r="H44" i="105"/>
  <c r="F35" i="105"/>
  <c r="F43" i="105"/>
  <c r="F32" i="105"/>
  <c r="F40" i="105"/>
  <c r="F48" i="105"/>
  <c r="F37" i="105"/>
  <c r="F45" i="105"/>
  <c r="J4" i="105" l="1"/>
  <c r="J11" i="105" s="1"/>
  <c r="F27" i="105"/>
  <c r="AH4" i="105"/>
  <c r="AI4" i="105" s="1"/>
  <c r="AJ4" i="105" s="1"/>
  <c r="AK4" i="105" s="1"/>
  <c r="AL4" i="105" s="1"/>
  <c r="AM4" i="105" s="1"/>
  <c r="AN4" i="105" s="1"/>
  <c r="AO4" i="105" s="1"/>
  <c r="AP4" i="105" s="1"/>
  <c r="AQ4" i="105" s="1"/>
  <c r="L4" i="105"/>
  <c r="L26" i="105"/>
  <c r="O26" i="105" s="1"/>
  <c r="B27" i="105"/>
  <c r="F29" i="105"/>
  <c r="F26" i="105"/>
  <c r="F24" i="105"/>
  <c r="G25" i="105"/>
  <c r="G26" i="105" s="1"/>
  <c r="G27" i="105" s="1"/>
  <c r="G28" i="105" s="1"/>
  <c r="G29" i="105" s="1"/>
  <c r="I11" i="105"/>
  <c r="F28" i="105"/>
  <c r="E24" i="105"/>
  <c r="E25" i="105" s="1"/>
  <c r="M11" i="105"/>
  <c r="N11" i="105"/>
  <c r="H24" i="105"/>
  <c r="F25" i="105"/>
  <c r="K4" i="105" l="1"/>
  <c r="K11" i="105" s="1"/>
  <c r="L27" i="105"/>
  <c r="O27" i="105" s="1"/>
  <c r="B28" i="105"/>
  <c r="L11" i="105"/>
  <c r="J24" i="105"/>
  <c r="N24" i="105" s="1"/>
  <c r="E26" i="105"/>
  <c r="J25" i="105"/>
  <c r="N25" i="105" s="1"/>
  <c r="L28" i="105" l="1"/>
  <c r="O28" i="105" s="1"/>
  <c r="B29" i="105"/>
  <c r="E27" i="105"/>
  <c r="J26" i="105"/>
  <c r="N26" i="105" s="1"/>
  <c r="E63" i="87"/>
  <c r="E62" i="87"/>
  <c r="B30" i="105" l="1"/>
  <c r="L29" i="105"/>
  <c r="O29" i="105" s="1"/>
  <c r="J27" i="105"/>
  <c r="N27" i="105" s="1"/>
  <c r="E28" i="105"/>
  <c r="O30" i="105" l="1"/>
  <c r="L30" i="105"/>
  <c r="B31" i="105"/>
  <c r="E29" i="105"/>
  <c r="J28" i="105"/>
  <c r="N28" i="105" s="1"/>
  <c r="L31" i="105" l="1"/>
  <c r="B32" i="105"/>
  <c r="O31" i="105"/>
  <c r="E30" i="105"/>
  <c r="J29" i="105"/>
  <c r="D30" i="98"/>
  <c r="D29" i="98"/>
  <c r="D24" i="98"/>
  <c r="D23" i="98"/>
  <c r="D18" i="98"/>
  <c r="D17" i="98"/>
  <c r="L32" i="105" l="1"/>
  <c r="B33" i="105"/>
  <c r="O32" i="105"/>
  <c r="J30" i="105"/>
  <c r="E31" i="105"/>
  <c r="L33" i="105" l="1"/>
  <c r="B34" i="105"/>
  <c r="O33" i="105"/>
  <c r="E32" i="105"/>
  <c r="J31" i="105"/>
  <c r="R201" i="37"/>
  <c r="C49" i="102"/>
  <c r="L34" i="105" l="1"/>
  <c r="B35" i="105"/>
  <c r="O34" i="105"/>
  <c r="J32" i="105"/>
  <c r="E33" i="105"/>
  <c r="L35" i="105" l="1"/>
  <c r="B36" i="105"/>
  <c r="O35" i="105"/>
  <c r="E34" i="105"/>
  <c r="J33" i="105"/>
  <c r="C69" i="102"/>
  <c r="L36" i="105" l="1"/>
  <c r="B37" i="105"/>
  <c r="O36" i="105"/>
  <c r="E35" i="105"/>
  <c r="J34" i="105"/>
  <c r="G201" i="37"/>
  <c r="L37" i="105" l="1"/>
  <c r="B38" i="105"/>
  <c r="O37" i="105"/>
  <c r="J35" i="105"/>
  <c r="E36" i="105"/>
  <c r="E19" i="87"/>
  <c r="C45" i="102"/>
  <c r="L38" i="105" l="1"/>
  <c r="B39" i="105"/>
  <c r="O38" i="105"/>
  <c r="E37" i="105"/>
  <c r="J36" i="105"/>
  <c r="G2" i="93"/>
  <c r="F2" i="93"/>
  <c r="L39" i="105" l="1"/>
  <c r="B40" i="105"/>
  <c r="O39" i="105"/>
  <c r="E38" i="105"/>
  <c r="J37" i="105"/>
  <c r="L40" i="105" l="1"/>
  <c r="B41" i="105"/>
  <c r="O40" i="105"/>
  <c r="J38" i="105"/>
  <c r="E39" i="105"/>
  <c r="AD291" i="37"/>
  <c r="AD292" i="37" s="1"/>
  <c r="AC291" i="37"/>
  <c r="AB291" i="37"/>
  <c r="AD283" i="37"/>
  <c r="AD284" i="37" s="1"/>
  <c r="AC283" i="37"/>
  <c r="AB283" i="37"/>
  <c r="AC269" i="37"/>
  <c r="AC267" i="37"/>
  <c r="AB267" i="37"/>
  <c r="AC259" i="37"/>
  <c r="AB259" i="37"/>
  <c r="AC252" i="37"/>
  <c r="AB252" i="37"/>
  <c r="S291" i="37"/>
  <c r="S292" i="37" s="1"/>
  <c r="R291" i="37"/>
  <c r="Q291" i="37"/>
  <c r="S283" i="37"/>
  <c r="S284" i="37" s="1"/>
  <c r="R283" i="37"/>
  <c r="Q283" i="37"/>
  <c r="R269" i="37"/>
  <c r="R267" i="37"/>
  <c r="Q267" i="37"/>
  <c r="R259" i="37"/>
  <c r="Q259" i="37"/>
  <c r="R252" i="37"/>
  <c r="Q252" i="37"/>
  <c r="F2" i="92"/>
  <c r="C24" i="84"/>
  <c r="C92" i="102"/>
  <c r="C28" i="91" l="1"/>
  <c r="D28" i="91"/>
  <c r="L41" i="105"/>
  <c r="B42" i="105"/>
  <c r="O41" i="105"/>
  <c r="AB292" i="37"/>
  <c r="AC292" i="37"/>
  <c r="AG276" i="37" s="1"/>
  <c r="AF266" i="37"/>
  <c r="AF262" i="37"/>
  <c r="AF265" i="37"/>
  <c r="AF264" i="37"/>
  <c r="AF263" i="37"/>
  <c r="AB268" i="37"/>
  <c r="Q292" i="37"/>
  <c r="R292" i="37"/>
  <c r="V288" i="37" s="1"/>
  <c r="H54" i="38"/>
  <c r="I54" i="38"/>
  <c r="I49" i="38"/>
  <c r="H49" i="38"/>
  <c r="U265" i="37"/>
  <c r="U262" i="37"/>
  <c r="U263" i="37"/>
  <c r="U266" i="37"/>
  <c r="U264" i="37"/>
  <c r="R260" i="37"/>
  <c r="L24" i="84"/>
  <c r="I24" i="84"/>
  <c r="E40" i="105"/>
  <c r="J39" i="105"/>
  <c r="AC260" i="37"/>
  <c r="Q268" i="37"/>
  <c r="E22" i="87"/>
  <c r="E28" i="87"/>
  <c r="C86" i="102"/>
  <c r="AE296" i="37" l="1"/>
  <c r="L42" i="105"/>
  <c r="B43" i="105"/>
  <c r="O42" i="105"/>
  <c r="T296" i="37"/>
  <c r="AH278" i="37"/>
  <c r="AH282" i="37"/>
  <c r="AE293" i="37"/>
  <c r="AG281" i="37"/>
  <c r="AH279" i="37"/>
  <c r="AH290" i="37"/>
  <c r="AH271" i="37"/>
  <c r="AG279" i="37"/>
  <c r="AH286" i="37"/>
  <c r="AH274" i="37"/>
  <c r="AG282" i="37"/>
  <c r="AG288" i="37"/>
  <c r="AH288" i="37"/>
  <c r="AH289" i="37"/>
  <c r="AG275" i="37"/>
  <c r="AH273" i="37"/>
  <c r="AG277" i="37"/>
  <c r="AG280" i="37"/>
  <c r="AG286" i="37"/>
  <c r="AH281" i="37"/>
  <c r="W282" i="37"/>
  <c r="AG271" i="37"/>
  <c r="AG272" i="37"/>
  <c r="AG287" i="37"/>
  <c r="AG273" i="37"/>
  <c r="AH275" i="37"/>
  <c r="AH276" i="37"/>
  <c r="AH287" i="37"/>
  <c r="AH272" i="37"/>
  <c r="AH280" i="37"/>
  <c r="V278" i="37"/>
  <c r="AH277" i="37"/>
  <c r="T293" i="37"/>
  <c r="W274" i="37"/>
  <c r="AE294" i="37"/>
  <c r="AE295" i="37" s="1"/>
  <c r="W290" i="37"/>
  <c r="T294" i="37"/>
  <c r="W280" i="37"/>
  <c r="W289" i="37"/>
  <c r="V290" i="37"/>
  <c r="V282" i="37"/>
  <c r="W287" i="37"/>
  <c r="V281" i="37"/>
  <c r="V286" i="37"/>
  <c r="V275" i="37"/>
  <c r="V279" i="37"/>
  <c r="V280" i="37"/>
  <c r="W276" i="37"/>
  <c r="W278" i="37"/>
  <c r="V287" i="37"/>
  <c r="AG289" i="37"/>
  <c r="W279" i="37"/>
  <c r="V273" i="37"/>
  <c r="W273" i="37"/>
  <c r="V289" i="37"/>
  <c r="AG274" i="37"/>
  <c r="W281" i="37"/>
  <c r="V277" i="37"/>
  <c r="AG278" i="37"/>
  <c r="AG290" i="37"/>
  <c r="W275" i="37"/>
  <c r="W286" i="37"/>
  <c r="V272" i="37"/>
  <c r="W272" i="37"/>
  <c r="V271" i="37"/>
  <c r="W277" i="37"/>
  <c r="V274" i="37"/>
  <c r="W271" i="37"/>
  <c r="V276" i="37"/>
  <c r="W288" i="37"/>
  <c r="N24" i="84"/>
  <c r="M24" i="84"/>
  <c r="J40" i="105"/>
  <c r="E41" i="105"/>
  <c r="AE297" i="37" l="1"/>
  <c r="L43" i="105"/>
  <c r="B44" i="105"/>
  <c r="O43" i="105"/>
  <c r="T297" i="37"/>
  <c r="T295" i="37"/>
  <c r="E42" i="105"/>
  <c r="J41" i="105"/>
  <c r="C21" i="102"/>
  <c r="C15" i="102"/>
  <c r="L44" i="105" l="1"/>
  <c r="B45" i="105"/>
  <c r="O44" i="105"/>
  <c r="E43" i="105"/>
  <c r="J42" i="105"/>
  <c r="L45" i="105" l="1"/>
  <c r="B46" i="105"/>
  <c r="O45" i="105"/>
  <c r="J43" i="105"/>
  <c r="E44" i="105"/>
  <c r="L46" i="105" l="1"/>
  <c r="B47" i="105"/>
  <c r="O46" i="105"/>
  <c r="E45" i="105"/>
  <c r="J44" i="105"/>
  <c r="L47" i="105" l="1"/>
  <c r="B48" i="105"/>
  <c r="O47" i="105"/>
  <c r="E46" i="105"/>
  <c r="J45" i="105"/>
  <c r="E20" i="87"/>
  <c r="E21" i="87"/>
  <c r="E23" i="87"/>
  <c r="E25" i="87"/>
  <c r="E26" i="87"/>
  <c r="E27" i="87"/>
  <c r="E29" i="87"/>
  <c r="C72" i="102"/>
  <c r="L48" i="105" l="1"/>
  <c r="B49" i="105"/>
  <c r="O48" i="105"/>
  <c r="E47" i="105"/>
  <c r="J46" i="105"/>
  <c r="E11" i="79"/>
  <c r="C20" i="93"/>
  <c r="D19" i="93"/>
  <c r="C19" i="93"/>
  <c r="C3" i="93"/>
  <c r="D2" i="93"/>
  <c r="C2" i="93"/>
  <c r="D9" i="91"/>
  <c r="C9" i="91"/>
  <c r="G66" i="83"/>
  <c r="G65" i="83"/>
  <c r="G63" i="83"/>
  <c r="D42" i="107" s="1"/>
  <c r="G61" i="83"/>
  <c r="D40" i="107" s="1"/>
  <c r="G60" i="83"/>
  <c r="G58" i="83"/>
  <c r="G56" i="83"/>
  <c r="D38" i="107" s="1"/>
  <c r="G55" i="83"/>
  <c r="G48" i="83"/>
  <c r="D31" i="107" s="1"/>
  <c r="G47" i="83"/>
  <c r="D30" i="107" s="1"/>
  <c r="G46" i="83"/>
  <c r="D29" i="107" s="1"/>
  <c r="G45" i="83"/>
  <c r="D28" i="107" s="1"/>
  <c r="G44" i="83"/>
  <c r="D27" i="107" s="1"/>
  <c r="G43" i="83"/>
  <c r="D26" i="107" s="1"/>
  <c r="G42" i="83"/>
  <c r="D25" i="107" s="1"/>
  <c r="G41" i="83"/>
  <c r="D24" i="107" s="1"/>
  <c r="G40" i="83"/>
  <c r="D23" i="107" s="1"/>
  <c r="G39" i="83"/>
  <c r="D22" i="107" s="1"/>
  <c r="G38" i="83"/>
  <c r="D21" i="107" s="1"/>
  <c r="G37" i="83"/>
  <c r="D20" i="107" s="1"/>
  <c r="G36" i="83"/>
  <c r="D19" i="107" s="1"/>
  <c r="G35" i="83"/>
  <c r="D18" i="107" s="1"/>
  <c r="G34" i="83"/>
  <c r="D17" i="107" s="1"/>
  <c r="G33" i="83"/>
  <c r="D16" i="107" s="1"/>
  <c r="G32" i="83"/>
  <c r="D15" i="107" s="1"/>
  <c r="G31" i="83"/>
  <c r="D14" i="107" s="1"/>
  <c r="G30" i="83"/>
  <c r="D13" i="107" s="1"/>
  <c r="G29" i="83"/>
  <c r="D12" i="107" s="1"/>
  <c r="G28" i="83"/>
  <c r="D11" i="107" s="1"/>
  <c r="G27" i="83"/>
  <c r="D10" i="107" s="1"/>
  <c r="G26" i="83"/>
  <c r="D9" i="107" s="1"/>
  <c r="G25" i="83"/>
  <c r="D8" i="107" s="1"/>
  <c r="G24" i="83"/>
  <c r="G23" i="83"/>
  <c r="D6" i="107" s="1"/>
  <c r="G22" i="83"/>
  <c r="G8" i="83"/>
  <c r="G9" i="83"/>
  <c r="G10" i="83"/>
  <c r="G11" i="83"/>
  <c r="G12" i="83"/>
  <c r="G13" i="83"/>
  <c r="G14" i="83"/>
  <c r="G15" i="83"/>
  <c r="G17" i="83"/>
  <c r="E3" i="84"/>
  <c r="M8" i="92" s="1"/>
  <c r="D4" i="84"/>
  <c r="D3" i="84"/>
  <c r="D2" i="84"/>
  <c r="D43" i="107" l="1"/>
  <c r="D20" i="91"/>
  <c r="L49" i="105"/>
  <c r="B50" i="105"/>
  <c r="O49" i="105"/>
  <c r="D5" i="107"/>
  <c r="H5" i="107" s="1"/>
  <c r="D37" i="107"/>
  <c r="H37" i="107" s="1"/>
  <c r="J4" i="84"/>
  <c r="J25" i="84" s="1"/>
  <c r="H25" i="107"/>
  <c r="F25" i="107"/>
  <c r="K25" i="107"/>
  <c r="L25" i="107" s="1"/>
  <c r="K30" i="107"/>
  <c r="L30" i="107" s="1"/>
  <c r="H30" i="107"/>
  <c r="F30" i="107"/>
  <c r="H9" i="107"/>
  <c r="F9" i="107"/>
  <c r="K9" i="107"/>
  <c r="L9" i="107" s="1"/>
  <c r="K31" i="107"/>
  <c r="L31" i="107" s="1"/>
  <c r="H31" i="107"/>
  <c r="F31" i="107"/>
  <c r="H11" i="107"/>
  <c r="F11" i="107"/>
  <c r="K11" i="107"/>
  <c r="L11" i="107" s="1"/>
  <c r="K29" i="107"/>
  <c r="L29" i="107" s="1"/>
  <c r="H29" i="107"/>
  <c r="F29" i="107"/>
  <c r="K15" i="107"/>
  <c r="L15" i="107" s="1"/>
  <c r="F15" i="107"/>
  <c r="H15" i="107"/>
  <c r="K16" i="107"/>
  <c r="L16" i="107" s="1"/>
  <c r="F16" i="107"/>
  <c r="H16" i="107"/>
  <c r="F37" i="107"/>
  <c r="K37" i="107"/>
  <c r="H28" i="107"/>
  <c r="K28" i="107"/>
  <c r="L28" i="107" s="1"/>
  <c r="F28" i="107"/>
  <c r="H10" i="107"/>
  <c r="L27" i="84" s="1"/>
  <c r="K10" i="107"/>
  <c r="L10" i="107" s="1"/>
  <c r="F10" i="107"/>
  <c r="K14" i="107"/>
  <c r="L14" i="107" s="1"/>
  <c r="F14" i="107"/>
  <c r="H14" i="107"/>
  <c r="K17" i="107"/>
  <c r="L17" i="107" s="1"/>
  <c r="F17" i="107"/>
  <c r="H17" i="107"/>
  <c r="K38" i="107"/>
  <c r="L38" i="107" s="1"/>
  <c r="F38" i="107"/>
  <c r="H38" i="107"/>
  <c r="F18" i="107"/>
  <c r="H18" i="107"/>
  <c r="K18" i="107"/>
  <c r="L18" i="107" s="1"/>
  <c r="H26" i="107"/>
  <c r="K26" i="107"/>
  <c r="L26" i="107" s="1"/>
  <c r="F26" i="107"/>
  <c r="K13" i="107"/>
  <c r="L13" i="107" s="1"/>
  <c r="H13" i="107"/>
  <c r="F13" i="107"/>
  <c r="F19" i="107"/>
  <c r="H19" i="107"/>
  <c r="K19" i="107"/>
  <c r="L19" i="107" s="1"/>
  <c r="K20" i="107"/>
  <c r="L20" i="107" s="1"/>
  <c r="H20" i="107"/>
  <c r="F20" i="107"/>
  <c r="K24" i="107"/>
  <c r="L24" i="107" s="1"/>
  <c r="H24" i="107"/>
  <c r="F24" i="107"/>
  <c r="H12" i="107"/>
  <c r="K12" i="107"/>
  <c r="L12" i="107" s="1"/>
  <c r="F12" i="107"/>
  <c r="H27" i="107"/>
  <c r="F27" i="107"/>
  <c r="K27" i="107"/>
  <c r="L27" i="107" s="1"/>
  <c r="K21" i="107"/>
  <c r="L21" i="107" s="1"/>
  <c r="F21" i="107"/>
  <c r="H21" i="107"/>
  <c r="K8" i="107"/>
  <c r="L8" i="107" s="1"/>
  <c r="H8" i="107"/>
  <c r="F8" i="107"/>
  <c r="K40" i="107"/>
  <c r="L40" i="107" s="1"/>
  <c r="F40" i="107"/>
  <c r="H40" i="107"/>
  <c r="K42" i="107"/>
  <c r="L42" i="107" s="1"/>
  <c r="H42" i="107"/>
  <c r="F42" i="107"/>
  <c r="K6" i="107"/>
  <c r="L6" i="107" s="1"/>
  <c r="F6" i="107"/>
  <c r="H6" i="107"/>
  <c r="H22" i="107"/>
  <c r="F22" i="107"/>
  <c r="K22" i="107"/>
  <c r="L22" i="107" s="1"/>
  <c r="D7" i="107"/>
  <c r="K23" i="107"/>
  <c r="L23" i="107" s="1"/>
  <c r="H23" i="107"/>
  <c r="F23" i="107"/>
  <c r="F43" i="107"/>
  <c r="K43" i="107"/>
  <c r="H43" i="107"/>
  <c r="E48" i="105"/>
  <c r="J47" i="105"/>
  <c r="C27" i="84"/>
  <c r="C21" i="84"/>
  <c r="C31" i="84"/>
  <c r="D12" i="84"/>
  <c r="D5" i="91"/>
  <c r="L43" i="107" l="1"/>
  <c r="F5" i="107"/>
  <c r="K5" i="107"/>
  <c r="L5" i="107" s="1"/>
  <c r="J12" i="84"/>
  <c r="L50" i="105"/>
  <c r="B51" i="105"/>
  <c r="O50" i="105"/>
  <c r="L31" i="84"/>
  <c r="N31" i="84" s="1"/>
  <c r="I27" i="84"/>
  <c r="J27" i="84" s="1"/>
  <c r="N27" i="84"/>
  <c r="M27" i="84"/>
  <c r="I21" i="84"/>
  <c r="L37" i="107"/>
  <c r="I31" i="84"/>
  <c r="J31" i="84" s="1"/>
  <c r="F7" i="107"/>
  <c r="K7" i="107"/>
  <c r="L7" i="107" s="1"/>
  <c r="H7" i="107"/>
  <c r="L21" i="84"/>
  <c r="J48" i="105"/>
  <c r="E49" i="105"/>
  <c r="D3" i="98"/>
  <c r="D13" i="98" s="1"/>
  <c r="C61" i="102"/>
  <c r="C50" i="102"/>
  <c r="C38" i="102"/>
  <c r="C39" i="102" s="1"/>
  <c r="C26" i="102"/>
  <c r="L51" i="105" l="1"/>
  <c r="B52" i="105"/>
  <c r="O51" i="105"/>
  <c r="M31" i="84"/>
  <c r="J21" i="84"/>
  <c r="N21" i="84"/>
  <c r="M21" i="84"/>
  <c r="E50" i="105"/>
  <c r="J49" i="105"/>
  <c r="C29" i="102"/>
  <c r="D20" i="93"/>
  <c r="E38" i="93"/>
  <c r="E4" i="84"/>
  <c r="D3" i="93"/>
  <c r="I37" i="98"/>
  <c r="D37" i="98"/>
  <c r="L52" i="105" l="1"/>
  <c r="B53" i="105"/>
  <c r="O52" i="105"/>
  <c r="D9" i="106"/>
  <c r="D7" i="106" s="1"/>
  <c r="K4" i="84"/>
  <c r="E36" i="93"/>
  <c r="C32" i="102"/>
  <c r="E51" i="105"/>
  <c r="J50" i="105"/>
  <c r="E12" i="84"/>
  <c r="B5" i="93"/>
  <c r="L53" i="105" l="1"/>
  <c r="O53" i="105"/>
  <c r="D10" i="106"/>
  <c r="D11" i="106"/>
  <c r="D8" i="106"/>
  <c r="K31" i="84"/>
  <c r="K21" i="84"/>
  <c r="K25" i="84"/>
  <c r="K12" i="84"/>
  <c r="K27" i="84"/>
  <c r="J51" i="105"/>
  <c r="E52" i="105"/>
  <c r="C5" i="91"/>
  <c r="E53" i="105" l="1"/>
  <c r="J53" i="105" s="1"/>
  <c r="J52" i="105"/>
  <c r="C10" i="91" l="1"/>
  <c r="C6" i="91"/>
  <c r="E41" i="87" l="1"/>
  <c r="E40" i="87"/>
  <c r="E34" i="87"/>
  <c r="E33" i="87"/>
  <c r="E2" i="87"/>
  <c r="E59" i="87"/>
  <c r="E60" i="87"/>
  <c r="E43" i="87"/>
  <c r="E36" i="87"/>
  <c r="E42" i="87"/>
  <c r="E35" i="87"/>
  <c r="E12" i="87"/>
  <c r="E5" i="87"/>
  <c r="B2" i="79"/>
  <c r="E2" i="79"/>
  <c r="B2" i="38"/>
  <c r="D6" i="91" l="1"/>
  <c r="C25" i="84"/>
  <c r="K24" i="84" l="1"/>
  <c r="J24" i="84"/>
  <c r="D25" i="84"/>
  <c r="E25" i="84"/>
  <c r="D98" i="99"/>
  <c r="D83" i="99"/>
  <c r="D63" i="99"/>
  <c r="D13" i="99"/>
  <c r="G26" i="99"/>
  <c r="H26" i="99"/>
  <c r="G27" i="99"/>
  <c r="H27" i="99"/>
  <c r="G28" i="99"/>
  <c r="H28" i="99"/>
  <c r="G29" i="99"/>
  <c r="H29" i="99"/>
  <c r="G30" i="99"/>
  <c r="H30" i="99"/>
  <c r="G31" i="99"/>
  <c r="H31" i="99"/>
  <c r="G32" i="99"/>
  <c r="H32" i="99"/>
  <c r="G33" i="99"/>
  <c r="H33" i="99"/>
  <c r="G34" i="99"/>
  <c r="H34" i="99"/>
  <c r="G35" i="99"/>
  <c r="H35" i="99"/>
  <c r="G36" i="99"/>
  <c r="H36" i="99"/>
  <c r="G37" i="99"/>
  <c r="H37" i="99"/>
  <c r="G38" i="99"/>
  <c r="H38" i="99"/>
  <c r="G39" i="99"/>
  <c r="H39" i="99"/>
  <c r="G40" i="99"/>
  <c r="H40" i="99"/>
  <c r="G41" i="99"/>
  <c r="H41" i="99"/>
  <c r="G42" i="99"/>
  <c r="H42" i="99"/>
  <c r="G43" i="99"/>
  <c r="H43" i="99"/>
  <c r="G44" i="99"/>
  <c r="H44" i="99"/>
  <c r="G45" i="99"/>
  <c r="H45" i="99"/>
  <c r="G46" i="99"/>
  <c r="H46" i="99"/>
  <c r="G47" i="99"/>
  <c r="H47" i="99"/>
  <c r="G48" i="99"/>
  <c r="H48" i="99"/>
  <c r="G49" i="99"/>
  <c r="H49" i="99"/>
  <c r="G50" i="99"/>
  <c r="H50" i="99"/>
  <c r="G51" i="99"/>
  <c r="H51" i="99"/>
  <c r="G52" i="99"/>
  <c r="H52" i="99"/>
  <c r="G53" i="99"/>
  <c r="H53" i="99"/>
  <c r="G54" i="99"/>
  <c r="H54" i="99"/>
  <c r="G55" i="99"/>
  <c r="H55" i="99"/>
  <c r="G56" i="99"/>
  <c r="H56" i="99"/>
  <c r="G57" i="99"/>
  <c r="H57" i="99"/>
  <c r="G58" i="99"/>
  <c r="H58" i="99"/>
  <c r="G59" i="99"/>
  <c r="H59" i="99"/>
  <c r="G60" i="99"/>
  <c r="H60" i="99"/>
  <c r="G61" i="99"/>
  <c r="H61" i="99"/>
  <c r="G62" i="99"/>
  <c r="H62" i="99"/>
  <c r="G64" i="99"/>
  <c r="H64" i="99"/>
  <c r="G65" i="99"/>
  <c r="H65" i="99"/>
  <c r="G66" i="99"/>
  <c r="H66" i="99"/>
  <c r="G67" i="99"/>
  <c r="H67" i="99"/>
  <c r="G68" i="99"/>
  <c r="H68" i="99"/>
  <c r="G69" i="99"/>
  <c r="H69" i="99"/>
  <c r="G70" i="99"/>
  <c r="H70" i="99"/>
  <c r="G71" i="99"/>
  <c r="H71" i="99"/>
  <c r="G72" i="99"/>
  <c r="H72" i="99"/>
  <c r="G73" i="99"/>
  <c r="H73" i="99"/>
  <c r="G74" i="99"/>
  <c r="H74" i="99"/>
  <c r="G75" i="99"/>
  <c r="H75" i="99"/>
  <c r="G76" i="99"/>
  <c r="H76" i="99"/>
  <c r="G77" i="99"/>
  <c r="H77" i="99"/>
  <c r="G78" i="99"/>
  <c r="H78" i="99"/>
  <c r="G79" i="99"/>
  <c r="H79" i="99"/>
  <c r="G80" i="99"/>
  <c r="H80" i="99"/>
  <c r="G81" i="99"/>
  <c r="H81" i="99"/>
  <c r="G82" i="99"/>
  <c r="H82" i="99"/>
  <c r="G84" i="99"/>
  <c r="H84" i="99"/>
  <c r="G85" i="99"/>
  <c r="H85" i="99"/>
  <c r="G86" i="99"/>
  <c r="H86" i="99"/>
  <c r="G87" i="99"/>
  <c r="H87" i="99"/>
  <c r="G88" i="99"/>
  <c r="H88" i="99"/>
  <c r="G89" i="99"/>
  <c r="H89" i="99"/>
  <c r="G90" i="99"/>
  <c r="H90" i="99"/>
  <c r="G91" i="99"/>
  <c r="H91" i="99"/>
  <c r="G92" i="99"/>
  <c r="H92" i="99"/>
  <c r="G93" i="99"/>
  <c r="H93" i="99"/>
  <c r="G94" i="99"/>
  <c r="H94" i="99"/>
  <c r="G95" i="99"/>
  <c r="H95" i="99"/>
  <c r="G96" i="99"/>
  <c r="H96" i="99"/>
  <c r="G97" i="99"/>
  <c r="H97" i="99"/>
  <c r="G99" i="99"/>
  <c r="H99" i="99"/>
  <c r="G100" i="99"/>
  <c r="H100" i="99"/>
  <c r="G101" i="99"/>
  <c r="H101" i="99"/>
  <c r="G102" i="99"/>
  <c r="H102" i="99"/>
  <c r="G103" i="99"/>
  <c r="H103" i="99"/>
  <c r="G104" i="99"/>
  <c r="H104" i="99"/>
  <c r="G105" i="99"/>
  <c r="H105" i="99"/>
  <c r="G106" i="99"/>
  <c r="H106" i="99"/>
  <c r="G107" i="99"/>
  <c r="H107" i="99"/>
  <c r="G108" i="99"/>
  <c r="H108" i="99"/>
  <c r="G109" i="99"/>
  <c r="H109" i="99"/>
  <c r="G110" i="99"/>
  <c r="H110" i="99"/>
  <c r="G111" i="99"/>
  <c r="H111" i="99"/>
  <c r="G112" i="99"/>
  <c r="H112" i="99"/>
  <c r="G113" i="99"/>
  <c r="H113" i="99"/>
  <c r="G114" i="99"/>
  <c r="H114" i="99"/>
  <c r="G115" i="99"/>
  <c r="H115" i="99"/>
  <c r="G116" i="99"/>
  <c r="H116" i="99"/>
  <c r="G15" i="99"/>
  <c r="H15" i="99"/>
  <c r="G16" i="99"/>
  <c r="H16" i="99"/>
  <c r="G17" i="99"/>
  <c r="H17" i="99"/>
  <c r="G18" i="99"/>
  <c r="H18" i="99"/>
  <c r="G19" i="99"/>
  <c r="H19" i="99"/>
  <c r="G20" i="99"/>
  <c r="H20" i="99"/>
  <c r="G21" i="99"/>
  <c r="H21" i="99"/>
  <c r="G22" i="99"/>
  <c r="H22" i="99"/>
  <c r="G23" i="99"/>
  <c r="H23" i="99"/>
  <c r="G24" i="99"/>
  <c r="H24" i="99"/>
  <c r="G25" i="99"/>
  <c r="H25" i="99"/>
  <c r="H14" i="99"/>
  <c r="G14" i="99"/>
  <c r="O13" i="99"/>
  <c r="O15" i="99" l="1"/>
  <c r="O17" i="99"/>
  <c r="O19" i="99"/>
  <c r="O21" i="99"/>
  <c r="O23" i="99"/>
  <c r="O25" i="99"/>
  <c r="O27" i="99"/>
  <c r="I27" i="99" s="1"/>
  <c r="O29" i="99"/>
  <c r="O31" i="99"/>
  <c r="O33" i="99"/>
  <c r="I33" i="99" s="1"/>
  <c r="O35" i="99"/>
  <c r="O37" i="99"/>
  <c r="O39" i="99"/>
  <c r="I39" i="99" s="1"/>
  <c r="O41" i="99"/>
  <c r="I41" i="99" s="1"/>
  <c r="O43" i="99"/>
  <c r="I43" i="99" s="1"/>
  <c r="O45" i="99"/>
  <c r="I45" i="99" s="1"/>
  <c r="O16" i="99"/>
  <c r="O18" i="99"/>
  <c r="O20" i="99"/>
  <c r="O22" i="99"/>
  <c r="O24" i="99"/>
  <c r="O26" i="99"/>
  <c r="O28" i="99"/>
  <c r="O30" i="99"/>
  <c r="O32" i="99"/>
  <c r="O34" i="99"/>
  <c r="I34" i="99" s="1"/>
  <c r="O36" i="99"/>
  <c r="I36" i="99" s="1"/>
  <c r="O38" i="99"/>
  <c r="I38" i="99" s="1"/>
  <c r="O40" i="99"/>
  <c r="I40" i="99" s="1"/>
  <c r="O42" i="99"/>
  <c r="I42" i="99" s="1"/>
  <c r="O44" i="99"/>
  <c r="I44" i="99" s="1"/>
  <c r="O51" i="99"/>
  <c r="I51" i="99" s="1"/>
  <c r="O57" i="99"/>
  <c r="O69" i="99"/>
  <c r="O71" i="99"/>
  <c r="O73" i="99"/>
  <c r="O75" i="99"/>
  <c r="I75" i="99" s="1"/>
  <c r="O52" i="99"/>
  <c r="O53" i="99"/>
  <c r="I53" i="99" s="1"/>
  <c r="O54" i="99"/>
  <c r="O49" i="99"/>
  <c r="O48" i="99"/>
  <c r="I48" i="99" s="1"/>
  <c r="O47" i="99"/>
  <c r="I47" i="99" s="1"/>
  <c r="O59" i="99"/>
  <c r="I59" i="99" s="1"/>
  <c r="O66" i="99"/>
  <c r="I66" i="99" s="1"/>
  <c r="O67" i="99"/>
  <c r="I67" i="99" s="1"/>
  <c r="O64" i="99"/>
  <c r="I64" i="99" s="1"/>
  <c r="O68" i="99"/>
  <c r="I68" i="99" s="1"/>
  <c r="O63" i="99"/>
  <c r="O74" i="99"/>
  <c r="O50" i="99"/>
  <c r="O56" i="99"/>
  <c r="I56" i="99" s="1"/>
  <c r="O58" i="99"/>
  <c r="I58" i="99" s="1"/>
  <c r="O62" i="99"/>
  <c r="O70" i="99"/>
  <c r="I70" i="99" s="1"/>
  <c r="O61" i="99"/>
  <c r="O76" i="99"/>
  <c r="O55" i="99"/>
  <c r="I55" i="99" s="1"/>
  <c r="O60" i="99"/>
  <c r="I60" i="99" s="1"/>
  <c r="O72" i="99"/>
  <c r="I72" i="99" s="1"/>
  <c r="O77" i="99"/>
  <c r="I77" i="99" s="1"/>
  <c r="O46" i="99"/>
  <c r="I46" i="99" s="1"/>
  <c r="O80" i="99"/>
  <c r="I80" i="99" s="1"/>
  <c r="O104" i="99"/>
  <c r="I104" i="99" s="1"/>
  <c r="O107" i="99"/>
  <c r="O84" i="99"/>
  <c r="O110" i="99"/>
  <c r="I110" i="99" s="1"/>
  <c r="O113" i="99"/>
  <c r="I113" i="99" s="1"/>
  <c r="O115" i="99"/>
  <c r="I115" i="99" s="1"/>
  <c r="O79" i="99"/>
  <c r="I79" i="99" s="1"/>
  <c r="O89" i="99"/>
  <c r="I89" i="99" s="1"/>
  <c r="O83" i="99"/>
  <c r="O93" i="99"/>
  <c r="O96" i="99"/>
  <c r="I96" i="99" s="1"/>
  <c r="O99" i="99"/>
  <c r="I99" i="99" s="1"/>
  <c r="O82" i="99"/>
  <c r="I82" i="99" s="1"/>
  <c r="O90" i="99"/>
  <c r="I90" i="99" s="1"/>
  <c r="O102" i="99"/>
  <c r="I102" i="99" s="1"/>
  <c r="O105" i="99"/>
  <c r="I105" i="99" s="1"/>
  <c r="O78" i="99"/>
  <c r="I78" i="99" s="1"/>
  <c r="O108" i="99"/>
  <c r="O111" i="99"/>
  <c r="I111" i="99" s="1"/>
  <c r="O81" i="99"/>
  <c r="I81" i="99" s="1"/>
  <c r="O14" i="99"/>
  <c r="I14" i="99" s="1"/>
  <c r="O65" i="99"/>
  <c r="I65" i="99" s="1"/>
  <c r="O91" i="99"/>
  <c r="I91" i="99" s="1"/>
  <c r="O94" i="99"/>
  <c r="I94" i="99" s="1"/>
  <c r="O97" i="99"/>
  <c r="O114" i="99"/>
  <c r="I114" i="99" s="1"/>
  <c r="O116" i="99"/>
  <c r="I116" i="99" s="1"/>
  <c r="O106" i="99"/>
  <c r="I106" i="99" s="1"/>
  <c r="O109" i="99"/>
  <c r="I109" i="99" s="1"/>
  <c r="O100" i="99"/>
  <c r="I100" i="99" s="1"/>
  <c r="O103" i="99"/>
  <c r="I103" i="99" s="1"/>
  <c r="O87" i="99"/>
  <c r="I87" i="99" s="1"/>
  <c r="O112" i="99"/>
  <c r="I112" i="99" s="1"/>
  <c r="O86" i="99"/>
  <c r="O92" i="99"/>
  <c r="O95" i="99"/>
  <c r="I95" i="99" s="1"/>
  <c r="O85" i="99"/>
  <c r="I85" i="99" s="1"/>
  <c r="O88" i="99"/>
  <c r="I88" i="99" s="1"/>
  <c r="O98" i="99"/>
  <c r="O101" i="99"/>
  <c r="I101" i="99" s="1"/>
  <c r="P13" i="99"/>
  <c r="I18" i="99"/>
  <c r="I23" i="99"/>
  <c r="I26" i="99"/>
  <c r="I28" i="99"/>
  <c r="I30" i="99"/>
  <c r="I32" i="99"/>
  <c r="I35" i="99"/>
  <c r="I37" i="99"/>
  <c r="I25" i="99"/>
  <c r="I29" i="99"/>
  <c r="I31" i="99"/>
  <c r="I15" i="99"/>
  <c r="I54" i="99"/>
  <c r="I86" i="99"/>
  <c r="I50" i="99"/>
  <c r="I69" i="99"/>
  <c r="I71" i="99"/>
  <c r="I61" i="99"/>
  <c r="I52" i="99"/>
  <c r="I62" i="99"/>
  <c r="I92" i="99"/>
  <c r="I17" i="99"/>
  <c r="I76" i="99"/>
  <c r="I108" i="99"/>
  <c r="I74" i="99"/>
  <c r="I93" i="99"/>
  <c r="I107" i="99"/>
  <c r="I24" i="99"/>
  <c r="I21" i="99"/>
  <c r="I20" i="99"/>
  <c r="I49" i="99"/>
  <c r="I97" i="99"/>
  <c r="I73" i="99"/>
  <c r="I57" i="99"/>
  <c r="I19" i="99"/>
  <c r="I22" i="99"/>
  <c r="Q13" i="99"/>
  <c r="I84" i="99" l="1"/>
  <c r="I83" i="99" s="1"/>
  <c r="I7" i="99" s="1"/>
  <c r="P15" i="99"/>
  <c r="P17" i="99"/>
  <c r="P19" i="99"/>
  <c r="P21" i="99"/>
  <c r="P23" i="99"/>
  <c r="P25" i="99"/>
  <c r="P16" i="99"/>
  <c r="P18" i="99"/>
  <c r="P20" i="99"/>
  <c r="P22" i="99"/>
  <c r="P24" i="99"/>
  <c r="P26" i="99"/>
  <c r="P28" i="99"/>
  <c r="P30" i="99"/>
  <c r="P32" i="99"/>
  <c r="P34" i="99"/>
  <c r="P36" i="99"/>
  <c r="P38" i="99"/>
  <c r="P40" i="99"/>
  <c r="P42" i="99"/>
  <c r="P44" i="99"/>
  <c r="P35" i="99"/>
  <c r="P33" i="99"/>
  <c r="P31" i="99"/>
  <c r="P47" i="99"/>
  <c r="P41" i="99"/>
  <c r="P29" i="99"/>
  <c r="P27" i="99"/>
  <c r="P43" i="99"/>
  <c r="P51" i="99"/>
  <c r="P37" i="99"/>
  <c r="P45" i="99"/>
  <c r="P62" i="99"/>
  <c r="P57" i="99"/>
  <c r="P58" i="99"/>
  <c r="P39" i="99"/>
  <c r="P53" i="99"/>
  <c r="P59" i="99"/>
  <c r="P49" i="99"/>
  <c r="P48" i="99"/>
  <c r="P46" i="99"/>
  <c r="P65" i="99"/>
  <c r="P66" i="99"/>
  <c r="P67" i="99"/>
  <c r="P73" i="99"/>
  <c r="P64" i="99"/>
  <c r="P68" i="99"/>
  <c r="P63" i="99"/>
  <c r="P74" i="99"/>
  <c r="P50" i="99"/>
  <c r="P54" i="99"/>
  <c r="P69" i="99"/>
  <c r="P56" i="99"/>
  <c r="P78" i="99"/>
  <c r="P80" i="99"/>
  <c r="P82" i="99"/>
  <c r="P84" i="99"/>
  <c r="P86" i="99"/>
  <c r="P88" i="99"/>
  <c r="P90" i="99"/>
  <c r="P92" i="99"/>
  <c r="P94" i="99"/>
  <c r="P96" i="99"/>
  <c r="P98" i="99"/>
  <c r="P100" i="99"/>
  <c r="P102" i="99"/>
  <c r="P104" i="99"/>
  <c r="P106" i="99"/>
  <c r="P108" i="99"/>
  <c r="P110" i="99"/>
  <c r="P112" i="99"/>
  <c r="P75" i="99"/>
  <c r="P70" i="99"/>
  <c r="P61" i="99"/>
  <c r="P76" i="99"/>
  <c r="P71" i="99"/>
  <c r="P55" i="99"/>
  <c r="P60" i="99"/>
  <c r="P52" i="99"/>
  <c r="P72" i="99"/>
  <c r="P77" i="99"/>
  <c r="P79" i="99"/>
  <c r="P81" i="99"/>
  <c r="P83" i="99"/>
  <c r="P85" i="99"/>
  <c r="P87" i="99"/>
  <c r="P89" i="99"/>
  <c r="P101" i="99"/>
  <c r="P107" i="99"/>
  <c r="P113" i="99"/>
  <c r="P115" i="99"/>
  <c r="P93" i="99"/>
  <c r="P99" i="99"/>
  <c r="P105" i="99"/>
  <c r="P111" i="99"/>
  <c r="P109" i="99"/>
  <c r="P91" i="99"/>
  <c r="P116" i="99"/>
  <c r="P97" i="99"/>
  <c r="P114" i="99"/>
  <c r="P103" i="99"/>
  <c r="P95" i="99"/>
  <c r="P14" i="99"/>
  <c r="Q15" i="99"/>
  <c r="Q17" i="99"/>
  <c r="Q19" i="99"/>
  <c r="Q21" i="99"/>
  <c r="Q23" i="99"/>
  <c r="Q25" i="99"/>
  <c r="Q27" i="99"/>
  <c r="Q29" i="99"/>
  <c r="Q31" i="99"/>
  <c r="Q33" i="99"/>
  <c r="Q35" i="99"/>
  <c r="Q37" i="99"/>
  <c r="Q39" i="99"/>
  <c r="Q41" i="99"/>
  <c r="Q43" i="99"/>
  <c r="Q16" i="99"/>
  <c r="Q18" i="99"/>
  <c r="Q20" i="99"/>
  <c r="Q22" i="99"/>
  <c r="Q24" i="99"/>
  <c r="Q30" i="99"/>
  <c r="Q40" i="99"/>
  <c r="Q42" i="99"/>
  <c r="Q28" i="99"/>
  <c r="Q26" i="99"/>
  <c r="Q36" i="99"/>
  <c r="Q46" i="99"/>
  <c r="Q51" i="99"/>
  <c r="Q34" i="99"/>
  <c r="Q45" i="99"/>
  <c r="Q32" i="99"/>
  <c r="Q44" i="99"/>
  <c r="Q64" i="99"/>
  <c r="Q54" i="99"/>
  <c r="Q38" i="99"/>
  <c r="Q48" i="99"/>
  <c r="Q50" i="99"/>
  <c r="Q47" i="99"/>
  <c r="Q53" i="99"/>
  <c r="Q59" i="99"/>
  <c r="Q65" i="99"/>
  <c r="Q66" i="99"/>
  <c r="Q67" i="99"/>
  <c r="Q73" i="99"/>
  <c r="Q68" i="99"/>
  <c r="Q63" i="99"/>
  <c r="Q74" i="99"/>
  <c r="Q58" i="99"/>
  <c r="Q69" i="99"/>
  <c r="Q49" i="99"/>
  <c r="Q56" i="99"/>
  <c r="Q62" i="99"/>
  <c r="Q78" i="99"/>
  <c r="Q80" i="99"/>
  <c r="Q75" i="99"/>
  <c r="Q70" i="99"/>
  <c r="Q61" i="99"/>
  <c r="Q76" i="99"/>
  <c r="Q71" i="99"/>
  <c r="Q55" i="99"/>
  <c r="Q57" i="99"/>
  <c r="Q60" i="99"/>
  <c r="Q85" i="99"/>
  <c r="Q88" i="99"/>
  <c r="Q95" i="99"/>
  <c r="Q98" i="99"/>
  <c r="Q101" i="99"/>
  <c r="Q104" i="99"/>
  <c r="Q84" i="99"/>
  <c r="Q107" i="99"/>
  <c r="Q110" i="99"/>
  <c r="Q14" i="99"/>
  <c r="Q113" i="99"/>
  <c r="Q115" i="99"/>
  <c r="Q52" i="99"/>
  <c r="Q79" i="99"/>
  <c r="Q89" i="99"/>
  <c r="Q83" i="99"/>
  <c r="Q93" i="99"/>
  <c r="Q96" i="99"/>
  <c r="Q82" i="99"/>
  <c r="Q90" i="99"/>
  <c r="Q99" i="99"/>
  <c r="Q102" i="99"/>
  <c r="Q105" i="99"/>
  <c r="Q108" i="99"/>
  <c r="Q72" i="99"/>
  <c r="Q81" i="99"/>
  <c r="Q111" i="99"/>
  <c r="Q114" i="99"/>
  <c r="Q91" i="99"/>
  <c r="Q94" i="99"/>
  <c r="Q116" i="99"/>
  <c r="Q77" i="99"/>
  <c r="Q97" i="99"/>
  <c r="Q100" i="99"/>
  <c r="Q103" i="99"/>
  <c r="Q106" i="99"/>
  <c r="Q87" i="99"/>
  <c r="Q109" i="99"/>
  <c r="Q112" i="99"/>
  <c r="Q86" i="99"/>
  <c r="Q92" i="99"/>
  <c r="I98" i="99"/>
  <c r="I8" i="99" s="1"/>
  <c r="I63" i="99"/>
  <c r="I6" i="99" s="1"/>
  <c r="I16" i="99"/>
  <c r="R13" i="99"/>
  <c r="R15" i="99" l="1"/>
  <c r="R17" i="99"/>
  <c r="R19" i="99"/>
  <c r="R21" i="99"/>
  <c r="R23" i="99"/>
  <c r="R16" i="99"/>
  <c r="R18" i="99"/>
  <c r="R20" i="99"/>
  <c r="R22" i="99"/>
  <c r="R24" i="99"/>
  <c r="R26" i="99"/>
  <c r="R28" i="99"/>
  <c r="R30" i="99"/>
  <c r="R32" i="99"/>
  <c r="R34" i="99"/>
  <c r="R36" i="99"/>
  <c r="R38" i="99"/>
  <c r="R40" i="99"/>
  <c r="R35" i="99"/>
  <c r="R25" i="99"/>
  <c r="R44" i="99"/>
  <c r="R50" i="99"/>
  <c r="R52" i="99"/>
  <c r="R54" i="99"/>
  <c r="R56" i="99"/>
  <c r="R58" i="99"/>
  <c r="R60" i="99"/>
  <c r="R62" i="99"/>
  <c r="R64" i="99"/>
  <c r="R66" i="99"/>
  <c r="R31" i="99"/>
  <c r="R41" i="99"/>
  <c r="R29" i="99"/>
  <c r="R27" i="99"/>
  <c r="R37" i="99"/>
  <c r="R49" i="99"/>
  <c r="R51" i="99"/>
  <c r="R53" i="99"/>
  <c r="R55" i="99"/>
  <c r="R57" i="99"/>
  <c r="R59" i="99"/>
  <c r="R61" i="99"/>
  <c r="R63" i="99"/>
  <c r="R65" i="99"/>
  <c r="R42" i="99"/>
  <c r="R46" i="99"/>
  <c r="R43" i="99"/>
  <c r="R45" i="99"/>
  <c r="R39" i="99"/>
  <c r="R33" i="99"/>
  <c r="R47" i="99"/>
  <c r="R72" i="99"/>
  <c r="R77" i="99"/>
  <c r="R79" i="99"/>
  <c r="R48" i="99"/>
  <c r="R67" i="99"/>
  <c r="R73" i="99"/>
  <c r="R68" i="99"/>
  <c r="R74" i="99"/>
  <c r="R69" i="99"/>
  <c r="R78" i="99"/>
  <c r="R80" i="99"/>
  <c r="R75" i="99"/>
  <c r="R70" i="99"/>
  <c r="R71" i="99"/>
  <c r="R92" i="99"/>
  <c r="R85" i="99"/>
  <c r="R88" i="99"/>
  <c r="R95" i="99"/>
  <c r="R98" i="99"/>
  <c r="R101" i="99"/>
  <c r="R104" i="99"/>
  <c r="R107" i="99"/>
  <c r="R84" i="99"/>
  <c r="R110" i="99"/>
  <c r="R14" i="99"/>
  <c r="R113" i="99"/>
  <c r="R76" i="99"/>
  <c r="R89" i="99"/>
  <c r="R83" i="99"/>
  <c r="R93" i="99"/>
  <c r="R96" i="99"/>
  <c r="R99" i="99"/>
  <c r="R82" i="99"/>
  <c r="R90" i="99"/>
  <c r="R102" i="99"/>
  <c r="R105" i="99"/>
  <c r="R108" i="99"/>
  <c r="R81" i="99"/>
  <c r="R111" i="99"/>
  <c r="R91" i="99"/>
  <c r="R94" i="99"/>
  <c r="R97" i="99"/>
  <c r="R100" i="99"/>
  <c r="R103" i="99"/>
  <c r="R106" i="99"/>
  <c r="R87" i="99"/>
  <c r="R109" i="99"/>
  <c r="R112" i="99"/>
  <c r="R86" i="99"/>
  <c r="R115" i="99"/>
  <c r="R116" i="99"/>
  <c r="R114" i="99"/>
  <c r="I13" i="99"/>
  <c r="S13" i="99"/>
  <c r="I5" i="99" l="1"/>
  <c r="I9" i="99" s="1"/>
  <c r="H46" i="83" s="1"/>
  <c r="H49" i="83" s="1"/>
  <c r="S15" i="99"/>
  <c r="S17" i="99"/>
  <c r="S19" i="99"/>
  <c r="S21" i="99"/>
  <c r="S23" i="99"/>
  <c r="S16" i="99"/>
  <c r="S18" i="99"/>
  <c r="S20" i="99"/>
  <c r="S22" i="99"/>
  <c r="S24" i="99"/>
  <c r="S30" i="99"/>
  <c r="S35" i="99"/>
  <c r="S40" i="99"/>
  <c r="S25" i="99"/>
  <c r="S46" i="99"/>
  <c r="S26" i="99"/>
  <c r="S31" i="99"/>
  <c r="S36" i="99"/>
  <c r="S29" i="99"/>
  <c r="S34" i="99"/>
  <c r="S27" i="99"/>
  <c r="S32" i="99"/>
  <c r="S47" i="99"/>
  <c r="S50" i="99"/>
  <c r="S41" i="99"/>
  <c r="S42" i="99"/>
  <c r="S56" i="99"/>
  <c r="S66" i="99"/>
  <c r="S37" i="99"/>
  <c r="S43" i="99"/>
  <c r="S51" i="99"/>
  <c r="S45" i="99"/>
  <c r="S52" i="99"/>
  <c r="S28" i="99"/>
  <c r="S39" i="99"/>
  <c r="S53" i="99"/>
  <c r="S44" i="99"/>
  <c r="S33" i="99"/>
  <c r="S48" i="99"/>
  <c r="S72" i="99"/>
  <c r="S77" i="99"/>
  <c r="S79" i="99"/>
  <c r="S59" i="99"/>
  <c r="S65" i="99"/>
  <c r="S64" i="99"/>
  <c r="S67" i="99"/>
  <c r="S73" i="99"/>
  <c r="S38" i="99"/>
  <c r="S63" i="99"/>
  <c r="S68" i="99"/>
  <c r="S54" i="99"/>
  <c r="S58" i="99"/>
  <c r="S74" i="99"/>
  <c r="S49" i="99"/>
  <c r="S62" i="99"/>
  <c r="S69" i="99"/>
  <c r="S78" i="99"/>
  <c r="S75" i="99"/>
  <c r="S70" i="99"/>
  <c r="S61" i="99"/>
  <c r="S76" i="99"/>
  <c r="S71" i="99"/>
  <c r="S86" i="99"/>
  <c r="S80" i="99"/>
  <c r="S92" i="99"/>
  <c r="S85" i="99"/>
  <c r="S88" i="99"/>
  <c r="S95" i="99"/>
  <c r="S98" i="99"/>
  <c r="S104" i="99"/>
  <c r="S101" i="99"/>
  <c r="S110" i="99"/>
  <c r="S84" i="99"/>
  <c r="S107" i="99"/>
  <c r="S89" i="99"/>
  <c r="S83" i="99"/>
  <c r="S93" i="99"/>
  <c r="S96" i="99"/>
  <c r="S55" i="99"/>
  <c r="S82" i="99"/>
  <c r="S90" i="99"/>
  <c r="S99" i="99"/>
  <c r="S102" i="99"/>
  <c r="S105" i="99"/>
  <c r="S108" i="99"/>
  <c r="S111" i="99"/>
  <c r="S57" i="99"/>
  <c r="S81" i="99"/>
  <c r="S91" i="99"/>
  <c r="S94" i="99"/>
  <c r="S97" i="99"/>
  <c r="S100" i="99"/>
  <c r="S103" i="99"/>
  <c r="S106" i="99"/>
  <c r="S60" i="99"/>
  <c r="S87" i="99"/>
  <c r="S113" i="99"/>
  <c r="S109" i="99"/>
  <c r="S116" i="99"/>
  <c r="S14" i="99"/>
  <c r="S112" i="99"/>
  <c r="S114" i="99"/>
  <c r="S115" i="99"/>
  <c r="T13" i="99"/>
  <c r="T15" i="99" l="1"/>
  <c r="T17" i="99"/>
  <c r="T19" i="99"/>
  <c r="T21" i="99"/>
  <c r="T23" i="99"/>
  <c r="T16" i="99"/>
  <c r="T18" i="99"/>
  <c r="T20" i="99"/>
  <c r="T22" i="99"/>
  <c r="T24" i="99"/>
  <c r="T37" i="99"/>
  <c r="T30" i="99"/>
  <c r="T35" i="99"/>
  <c r="T25" i="99"/>
  <c r="T33" i="99"/>
  <c r="T38" i="99"/>
  <c r="T45" i="99"/>
  <c r="T26" i="99"/>
  <c r="T31" i="99"/>
  <c r="T36" i="99"/>
  <c r="T48" i="99"/>
  <c r="T47" i="99"/>
  <c r="T50" i="99"/>
  <c r="T27" i="99"/>
  <c r="T46" i="99"/>
  <c r="T61" i="99"/>
  <c r="T41" i="99"/>
  <c r="T42" i="99"/>
  <c r="T56" i="99"/>
  <c r="T34" i="99"/>
  <c r="T40" i="99"/>
  <c r="T43" i="99"/>
  <c r="T32" i="99"/>
  <c r="T57" i="99"/>
  <c r="T52" i="99"/>
  <c r="T28" i="99"/>
  <c r="T58" i="99"/>
  <c r="T67" i="99"/>
  <c r="T39" i="99"/>
  <c r="T44" i="99"/>
  <c r="T29" i="99"/>
  <c r="T55" i="99"/>
  <c r="T60" i="99"/>
  <c r="T53" i="99"/>
  <c r="T51" i="99"/>
  <c r="T72" i="99"/>
  <c r="T77" i="99"/>
  <c r="T79" i="99"/>
  <c r="T59" i="99"/>
  <c r="T65" i="99"/>
  <c r="T66" i="99"/>
  <c r="T64" i="99"/>
  <c r="T73" i="99"/>
  <c r="T63" i="99"/>
  <c r="T68" i="99"/>
  <c r="T54" i="99"/>
  <c r="T74" i="99"/>
  <c r="T49" i="99"/>
  <c r="T62" i="99"/>
  <c r="T69" i="99"/>
  <c r="T78" i="99"/>
  <c r="T75" i="99"/>
  <c r="T70" i="99"/>
  <c r="T76" i="99"/>
  <c r="T87" i="99"/>
  <c r="T109" i="99"/>
  <c r="T112" i="99"/>
  <c r="T86" i="99"/>
  <c r="T80" i="99"/>
  <c r="T92" i="99"/>
  <c r="T98" i="99"/>
  <c r="T85" i="99"/>
  <c r="T88" i="99"/>
  <c r="T95" i="99"/>
  <c r="T101" i="99"/>
  <c r="T104" i="99"/>
  <c r="T71" i="99"/>
  <c r="T84" i="99"/>
  <c r="T107" i="99"/>
  <c r="T110" i="99"/>
  <c r="T89" i="99"/>
  <c r="T113" i="99"/>
  <c r="T115" i="99"/>
  <c r="T83" i="99"/>
  <c r="T93" i="99"/>
  <c r="T96" i="99"/>
  <c r="T82" i="99"/>
  <c r="T90" i="99"/>
  <c r="T99" i="99"/>
  <c r="T102" i="99"/>
  <c r="T108" i="99"/>
  <c r="T111" i="99"/>
  <c r="T105" i="99"/>
  <c r="T81" i="99"/>
  <c r="T91" i="99"/>
  <c r="T94" i="99"/>
  <c r="T97" i="99"/>
  <c r="T100" i="99"/>
  <c r="T114" i="99"/>
  <c r="T116" i="99"/>
  <c r="T103" i="99"/>
  <c r="T14" i="99"/>
  <c r="T106" i="99"/>
  <c r="U13" i="99"/>
  <c r="U15" i="99" l="1"/>
  <c r="U17" i="99"/>
  <c r="U19" i="99"/>
  <c r="U21" i="99"/>
  <c r="U23" i="99"/>
  <c r="U16" i="99"/>
  <c r="U18" i="99"/>
  <c r="U20" i="99"/>
  <c r="U22" i="99"/>
  <c r="U24" i="99"/>
  <c r="U27" i="99"/>
  <c r="U32" i="99"/>
  <c r="U37" i="99"/>
  <c r="U30" i="99"/>
  <c r="U25" i="99"/>
  <c r="U28" i="99"/>
  <c r="U33" i="99"/>
  <c r="U38" i="99"/>
  <c r="U26" i="99"/>
  <c r="U31" i="99"/>
  <c r="U39" i="99"/>
  <c r="U43" i="99"/>
  <c r="U48" i="99"/>
  <c r="U29" i="99"/>
  <c r="U47" i="99"/>
  <c r="U50" i="99"/>
  <c r="U46" i="99"/>
  <c r="U41" i="99"/>
  <c r="U42" i="99"/>
  <c r="U34" i="99"/>
  <c r="U40" i="99"/>
  <c r="U45" i="99"/>
  <c r="U62" i="99"/>
  <c r="U36" i="99"/>
  <c r="U52" i="99"/>
  <c r="U63" i="99"/>
  <c r="U53" i="99"/>
  <c r="U44" i="99"/>
  <c r="U35" i="99"/>
  <c r="U49" i="99"/>
  <c r="U57" i="99"/>
  <c r="U71" i="99"/>
  <c r="U55" i="99"/>
  <c r="U60" i="99"/>
  <c r="U51" i="99"/>
  <c r="U72" i="99"/>
  <c r="U77" i="99"/>
  <c r="U79" i="99"/>
  <c r="U81" i="99"/>
  <c r="U83" i="99"/>
  <c r="U85" i="99"/>
  <c r="U59" i="99"/>
  <c r="U65" i="99"/>
  <c r="U66" i="99"/>
  <c r="U64" i="99"/>
  <c r="U67" i="99"/>
  <c r="U73" i="99"/>
  <c r="U68" i="99"/>
  <c r="U54" i="99"/>
  <c r="U56" i="99"/>
  <c r="U58" i="99"/>
  <c r="U74" i="99"/>
  <c r="U69" i="99"/>
  <c r="U78" i="99"/>
  <c r="U80" i="99"/>
  <c r="U82" i="99"/>
  <c r="U84" i="99"/>
  <c r="U86" i="99"/>
  <c r="U75" i="99"/>
  <c r="U61" i="99"/>
  <c r="U70" i="99"/>
  <c r="U103" i="99"/>
  <c r="U106" i="99"/>
  <c r="U87" i="99"/>
  <c r="U109" i="99"/>
  <c r="U112" i="99"/>
  <c r="U92" i="99"/>
  <c r="U88" i="99"/>
  <c r="U95" i="99"/>
  <c r="U98" i="99"/>
  <c r="U76" i="99"/>
  <c r="U101" i="99"/>
  <c r="U104" i="99"/>
  <c r="U107" i="99"/>
  <c r="U110" i="99"/>
  <c r="U14" i="99"/>
  <c r="U89" i="99"/>
  <c r="U113" i="99"/>
  <c r="U115" i="99"/>
  <c r="U93" i="99"/>
  <c r="U96" i="99"/>
  <c r="U111" i="99"/>
  <c r="U90" i="99"/>
  <c r="U99" i="99"/>
  <c r="U102" i="99"/>
  <c r="U105" i="99"/>
  <c r="U108" i="99"/>
  <c r="U91" i="99"/>
  <c r="U94" i="99"/>
  <c r="U97" i="99"/>
  <c r="U116" i="99"/>
  <c r="U114" i="99"/>
  <c r="U100" i="99"/>
  <c r="V13" i="99"/>
  <c r="V15" i="99" l="1"/>
  <c r="V17" i="99"/>
  <c r="V19" i="99"/>
  <c r="V21" i="99"/>
  <c r="V23" i="99"/>
  <c r="V25" i="99"/>
  <c r="V27" i="99"/>
  <c r="V29" i="99"/>
  <c r="V31" i="99"/>
  <c r="V33" i="99"/>
  <c r="V35" i="99"/>
  <c r="V37" i="99"/>
  <c r="V39" i="99"/>
  <c r="V41" i="99"/>
  <c r="V43" i="99"/>
  <c r="V45" i="99"/>
  <c r="V47" i="99"/>
  <c r="V16" i="99"/>
  <c r="V18" i="99"/>
  <c r="V20" i="99"/>
  <c r="V22" i="99"/>
  <c r="V24" i="99"/>
  <c r="V26" i="99"/>
  <c r="V28" i="99"/>
  <c r="V30" i="99"/>
  <c r="V32" i="99"/>
  <c r="V34" i="99"/>
  <c r="V36" i="99"/>
  <c r="V38" i="99"/>
  <c r="V40" i="99"/>
  <c r="V42" i="99"/>
  <c r="V44" i="99"/>
  <c r="V46" i="99"/>
  <c r="V48" i="99"/>
  <c r="V49" i="99"/>
  <c r="V55" i="99"/>
  <c r="V50" i="99"/>
  <c r="V51" i="99"/>
  <c r="V52" i="99"/>
  <c r="V69" i="99"/>
  <c r="V71" i="99"/>
  <c r="V73" i="99"/>
  <c r="V75" i="99"/>
  <c r="V58" i="99"/>
  <c r="V76" i="99"/>
  <c r="V57" i="99"/>
  <c r="V53" i="99"/>
  <c r="V60" i="99"/>
  <c r="V72" i="99"/>
  <c r="V59" i="99"/>
  <c r="V65" i="99"/>
  <c r="V66" i="99"/>
  <c r="V64" i="99"/>
  <c r="V67" i="99"/>
  <c r="V63" i="99"/>
  <c r="V68" i="99"/>
  <c r="V54" i="99"/>
  <c r="V56" i="99"/>
  <c r="V62" i="99"/>
  <c r="V74" i="99"/>
  <c r="V61" i="99"/>
  <c r="V70" i="99"/>
  <c r="V97" i="99"/>
  <c r="V100" i="99"/>
  <c r="V114" i="99"/>
  <c r="V103" i="99"/>
  <c r="V106" i="99"/>
  <c r="V86" i="99"/>
  <c r="V87" i="99"/>
  <c r="V109" i="99"/>
  <c r="V112" i="99"/>
  <c r="V80" i="99"/>
  <c r="V79" i="99"/>
  <c r="V85" i="99"/>
  <c r="V92" i="99"/>
  <c r="V88" i="99"/>
  <c r="V95" i="99"/>
  <c r="V98" i="99"/>
  <c r="V84" i="99"/>
  <c r="V101" i="99"/>
  <c r="V104" i="99"/>
  <c r="V110" i="99"/>
  <c r="V78" i="99"/>
  <c r="V107" i="99"/>
  <c r="V14" i="99"/>
  <c r="V83" i="99"/>
  <c r="V89" i="99"/>
  <c r="V113" i="99"/>
  <c r="V115" i="99"/>
  <c r="V82" i="99"/>
  <c r="V93" i="99"/>
  <c r="V96" i="99"/>
  <c r="V108" i="99"/>
  <c r="V90" i="99"/>
  <c r="V99" i="99"/>
  <c r="V102" i="99"/>
  <c r="V77" i="99"/>
  <c r="V81" i="99"/>
  <c r="V105" i="99"/>
  <c r="V111" i="99"/>
  <c r="V91" i="99"/>
  <c r="V94" i="99"/>
  <c r="V116" i="99"/>
  <c r="W13" i="99"/>
  <c r="W16" i="99" l="1"/>
  <c r="W18" i="99"/>
  <c r="W20" i="99"/>
  <c r="W22" i="99"/>
  <c r="W24" i="99"/>
  <c r="W26" i="99"/>
  <c r="W28" i="99"/>
  <c r="W30" i="99"/>
  <c r="W32" i="99"/>
  <c r="W34" i="99"/>
  <c r="W36" i="99"/>
  <c r="W38" i="99"/>
  <c r="W40" i="99"/>
  <c r="W42" i="99"/>
  <c r="W44" i="99"/>
  <c r="W15" i="99"/>
  <c r="W17" i="99"/>
  <c r="W19" i="99"/>
  <c r="W21" i="99"/>
  <c r="W23" i="99"/>
  <c r="W25" i="99"/>
  <c r="W27" i="99"/>
  <c r="W29" i="99"/>
  <c r="W31" i="99"/>
  <c r="W33" i="99"/>
  <c r="W35" i="99"/>
  <c r="W37" i="99"/>
  <c r="W39" i="99"/>
  <c r="W41" i="99"/>
  <c r="W43" i="99"/>
  <c r="W48" i="99"/>
  <c r="W49" i="99"/>
  <c r="W60" i="99"/>
  <c r="W68" i="99"/>
  <c r="W70" i="99"/>
  <c r="W72" i="99"/>
  <c r="W74" i="99"/>
  <c r="W76" i="99"/>
  <c r="W47" i="99"/>
  <c r="W55" i="99"/>
  <c r="W46" i="99"/>
  <c r="W56" i="99"/>
  <c r="W45" i="99"/>
  <c r="W51" i="99"/>
  <c r="W57" i="99"/>
  <c r="W52" i="99"/>
  <c r="W71" i="99"/>
  <c r="W53" i="99"/>
  <c r="W50" i="99"/>
  <c r="W59" i="99"/>
  <c r="W65" i="99"/>
  <c r="W66" i="99"/>
  <c r="W64" i="99"/>
  <c r="W67" i="99"/>
  <c r="W73" i="99"/>
  <c r="W63" i="99"/>
  <c r="W58" i="99"/>
  <c r="W54" i="99"/>
  <c r="W62" i="99"/>
  <c r="W69" i="99"/>
  <c r="W75" i="99"/>
  <c r="W91" i="99"/>
  <c r="W94" i="99"/>
  <c r="W61" i="99"/>
  <c r="W97" i="99"/>
  <c r="W100" i="99"/>
  <c r="W114" i="99"/>
  <c r="W103" i="99"/>
  <c r="W106" i="99"/>
  <c r="W109" i="99"/>
  <c r="W86" i="99"/>
  <c r="W87" i="99"/>
  <c r="W112" i="99"/>
  <c r="W80" i="99"/>
  <c r="W79" i="99"/>
  <c r="W85" i="99"/>
  <c r="W92" i="99"/>
  <c r="W88" i="99"/>
  <c r="W95" i="99"/>
  <c r="W98" i="99"/>
  <c r="W101" i="99"/>
  <c r="W104" i="99"/>
  <c r="W14" i="99"/>
  <c r="W84" i="99"/>
  <c r="W78" i="99"/>
  <c r="W107" i="99"/>
  <c r="W110" i="99"/>
  <c r="W83" i="99"/>
  <c r="W89" i="99"/>
  <c r="W113" i="99"/>
  <c r="W115" i="99"/>
  <c r="W82" i="99"/>
  <c r="W93" i="99"/>
  <c r="W96" i="99"/>
  <c r="W90" i="99"/>
  <c r="W99" i="99"/>
  <c r="W102" i="99"/>
  <c r="W77" i="99"/>
  <c r="W81" i="99"/>
  <c r="W105" i="99"/>
  <c r="W108" i="99"/>
  <c r="W111" i="99"/>
  <c r="W116" i="99"/>
  <c r="X13" i="99"/>
  <c r="X16" i="99" l="1"/>
  <c r="X18" i="99"/>
  <c r="X20" i="99"/>
  <c r="X22" i="99"/>
  <c r="X24" i="99"/>
  <c r="X15" i="99"/>
  <c r="X17" i="99"/>
  <c r="X19" i="99"/>
  <c r="X21" i="99"/>
  <c r="X23" i="99"/>
  <c r="X25" i="99"/>
  <c r="X27" i="99"/>
  <c r="X29" i="99"/>
  <c r="X31" i="99"/>
  <c r="X33" i="99"/>
  <c r="X35" i="99"/>
  <c r="X37" i="99"/>
  <c r="X39" i="99"/>
  <c r="X41" i="99"/>
  <c r="X43" i="99"/>
  <c r="X45" i="99"/>
  <c r="X32" i="99"/>
  <c r="X42" i="99"/>
  <c r="X28" i="99"/>
  <c r="X38" i="99"/>
  <c r="X26" i="99"/>
  <c r="X34" i="99"/>
  <c r="X48" i="99"/>
  <c r="X49" i="99"/>
  <c r="X65" i="99"/>
  <c r="X47" i="99"/>
  <c r="X46" i="99"/>
  <c r="X40" i="99"/>
  <c r="X61" i="99"/>
  <c r="X30" i="99"/>
  <c r="X36" i="99"/>
  <c r="X51" i="99"/>
  <c r="X62" i="99"/>
  <c r="X52" i="99"/>
  <c r="X44" i="99"/>
  <c r="X76" i="99"/>
  <c r="X55" i="99"/>
  <c r="X57" i="99"/>
  <c r="X71" i="99"/>
  <c r="X60" i="99"/>
  <c r="X53" i="99"/>
  <c r="X72" i="99"/>
  <c r="X77" i="99"/>
  <c r="X79" i="99"/>
  <c r="X81" i="99"/>
  <c r="X83" i="99"/>
  <c r="X85" i="99"/>
  <c r="X87" i="99"/>
  <c r="X89" i="99"/>
  <c r="X91" i="99"/>
  <c r="X93" i="99"/>
  <c r="X95" i="99"/>
  <c r="X97" i="99"/>
  <c r="X99" i="99"/>
  <c r="X101" i="99"/>
  <c r="X103" i="99"/>
  <c r="X105" i="99"/>
  <c r="X107" i="99"/>
  <c r="X109" i="99"/>
  <c r="X111" i="99"/>
  <c r="X50" i="99"/>
  <c r="X59" i="99"/>
  <c r="X66" i="99"/>
  <c r="X64" i="99"/>
  <c r="X67" i="99"/>
  <c r="X73" i="99"/>
  <c r="X63" i="99"/>
  <c r="X68" i="99"/>
  <c r="X56" i="99"/>
  <c r="X58" i="99"/>
  <c r="X54" i="99"/>
  <c r="X74" i="99"/>
  <c r="X69" i="99"/>
  <c r="X75" i="99"/>
  <c r="X78" i="99"/>
  <c r="X80" i="99"/>
  <c r="X82" i="99"/>
  <c r="X84" i="99"/>
  <c r="X86" i="99"/>
  <c r="X88" i="99"/>
  <c r="X90" i="99"/>
  <c r="X94" i="99"/>
  <c r="X100" i="99"/>
  <c r="X114" i="99"/>
  <c r="X116" i="99"/>
  <c r="X70" i="99"/>
  <c r="X106" i="99"/>
  <c r="X112" i="99"/>
  <c r="X92" i="99"/>
  <c r="X98" i="99"/>
  <c r="X104" i="99"/>
  <c r="X110" i="99"/>
  <c r="X14" i="99"/>
  <c r="X113" i="99"/>
  <c r="X115" i="99"/>
  <c r="X96" i="99"/>
  <c r="X102" i="99"/>
  <c r="X108" i="99"/>
  <c r="Y13" i="99"/>
  <c r="Y16" i="99" l="1"/>
  <c r="Y18" i="99"/>
  <c r="Y20" i="99"/>
  <c r="Y22" i="99"/>
  <c r="Y24" i="99"/>
  <c r="Y26" i="99"/>
  <c r="Y28" i="99"/>
  <c r="Y30" i="99"/>
  <c r="Y32" i="99"/>
  <c r="Y34" i="99"/>
  <c r="Y36" i="99"/>
  <c r="Y38" i="99"/>
  <c r="Y40" i="99"/>
  <c r="Y42" i="99"/>
  <c r="Y15" i="99"/>
  <c r="Y17" i="99"/>
  <c r="Y19" i="99"/>
  <c r="Y21" i="99"/>
  <c r="Y23" i="99"/>
  <c r="Y27" i="99"/>
  <c r="Y37" i="99"/>
  <c r="Y25" i="99"/>
  <c r="Y33" i="99"/>
  <c r="Y31" i="99"/>
  <c r="Y29" i="99"/>
  <c r="Y47" i="99"/>
  <c r="Y54" i="99"/>
  <c r="Y48" i="99"/>
  <c r="Y49" i="99"/>
  <c r="Y41" i="99"/>
  <c r="Y43" i="99"/>
  <c r="Y46" i="99"/>
  <c r="Y50" i="99"/>
  <c r="Y45" i="99"/>
  <c r="Y51" i="99"/>
  <c r="Y39" i="99"/>
  <c r="Y57" i="99"/>
  <c r="Y61" i="99"/>
  <c r="Y70" i="99"/>
  <c r="Y52" i="99"/>
  <c r="Y76" i="99"/>
  <c r="Y35" i="99"/>
  <c r="Y55" i="99"/>
  <c r="Y71" i="99"/>
  <c r="Y60" i="99"/>
  <c r="Y53" i="99"/>
  <c r="Y72" i="99"/>
  <c r="Y65" i="99"/>
  <c r="Y77" i="99"/>
  <c r="Y79" i="99"/>
  <c r="Y59" i="99"/>
  <c r="Y66" i="99"/>
  <c r="Y64" i="99"/>
  <c r="Y67" i="99"/>
  <c r="Y73" i="99"/>
  <c r="Y63" i="99"/>
  <c r="Y68" i="99"/>
  <c r="Y44" i="99"/>
  <c r="Y56" i="99"/>
  <c r="Y58" i="99"/>
  <c r="Y62" i="99"/>
  <c r="Y74" i="99"/>
  <c r="Y69" i="99"/>
  <c r="Y91" i="99"/>
  <c r="Y94" i="99"/>
  <c r="Y97" i="99"/>
  <c r="Y103" i="99"/>
  <c r="Y114" i="99"/>
  <c r="Y116" i="99"/>
  <c r="Y100" i="99"/>
  <c r="Y86" i="99"/>
  <c r="Y87" i="99"/>
  <c r="Y106" i="99"/>
  <c r="Y109" i="99"/>
  <c r="Y80" i="99"/>
  <c r="Y85" i="99"/>
  <c r="Y92" i="99"/>
  <c r="Y95" i="99"/>
  <c r="Y88" i="99"/>
  <c r="Y84" i="99"/>
  <c r="Y98" i="99"/>
  <c r="Y101" i="99"/>
  <c r="Y78" i="99"/>
  <c r="Y104" i="99"/>
  <c r="Y107" i="99"/>
  <c r="Y14" i="99"/>
  <c r="Y113" i="99"/>
  <c r="Y83" i="99"/>
  <c r="Y89" i="99"/>
  <c r="Y110" i="99"/>
  <c r="Y115" i="99"/>
  <c r="Y82" i="99"/>
  <c r="Y93" i="99"/>
  <c r="Y90" i="99"/>
  <c r="Y96" i="99"/>
  <c r="Y99" i="99"/>
  <c r="Y81" i="99"/>
  <c r="Y102" i="99"/>
  <c r="Y105" i="99"/>
  <c r="Y75" i="99"/>
  <c r="Y111" i="99"/>
  <c r="Y112" i="99"/>
  <c r="Y108" i="99"/>
  <c r="Z13" i="99"/>
  <c r="Z16" i="99" l="1"/>
  <c r="Z18" i="99"/>
  <c r="Z20" i="99"/>
  <c r="Z22" i="99"/>
  <c r="Z15" i="99"/>
  <c r="Z17" i="99"/>
  <c r="Z19" i="99"/>
  <c r="Z21" i="99"/>
  <c r="Z23" i="99"/>
  <c r="Z25" i="99"/>
  <c r="Z27" i="99"/>
  <c r="Z29" i="99"/>
  <c r="Z31" i="99"/>
  <c r="Z33" i="99"/>
  <c r="Z35" i="99"/>
  <c r="Z37" i="99"/>
  <c r="Z39" i="99"/>
  <c r="Z24" i="99"/>
  <c r="Z32" i="99"/>
  <c r="Z40" i="99"/>
  <c r="Z49" i="99"/>
  <c r="Z51" i="99"/>
  <c r="Z53" i="99"/>
  <c r="Z55" i="99"/>
  <c r="Z57" i="99"/>
  <c r="Z59" i="99"/>
  <c r="Z61" i="99"/>
  <c r="Z63" i="99"/>
  <c r="Z65" i="99"/>
  <c r="Z67" i="99"/>
  <c r="Z28" i="99"/>
  <c r="Z38" i="99"/>
  <c r="Z26" i="99"/>
  <c r="Z41" i="99"/>
  <c r="Z50" i="99"/>
  <c r="Z52" i="99"/>
  <c r="Z54" i="99"/>
  <c r="Z56" i="99"/>
  <c r="Z58" i="99"/>
  <c r="Z60" i="99"/>
  <c r="Z62" i="99"/>
  <c r="Z64" i="99"/>
  <c r="Z48" i="99"/>
  <c r="Z42" i="99"/>
  <c r="Z47" i="99"/>
  <c r="Z34" i="99"/>
  <c r="Z43" i="99"/>
  <c r="Z46" i="99"/>
  <c r="Z30" i="99"/>
  <c r="Z36" i="99"/>
  <c r="Z45" i="99"/>
  <c r="Z66" i="99"/>
  <c r="Z44" i="99"/>
  <c r="Z75" i="99"/>
  <c r="Z78" i="99"/>
  <c r="Z80" i="99"/>
  <c r="Z70" i="99"/>
  <c r="Z76" i="99"/>
  <c r="Z71" i="99"/>
  <c r="Z72" i="99"/>
  <c r="Z77" i="99"/>
  <c r="Z79" i="99"/>
  <c r="Z73" i="99"/>
  <c r="Z68" i="99"/>
  <c r="Z74" i="99"/>
  <c r="Z69" i="99"/>
  <c r="Z108" i="99"/>
  <c r="Z111" i="99"/>
  <c r="Z91" i="99"/>
  <c r="Z97" i="99"/>
  <c r="Z114" i="99"/>
  <c r="Z94" i="99"/>
  <c r="Z100" i="99"/>
  <c r="Z103" i="99"/>
  <c r="Z86" i="99"/>
  <c r="Z87" i="99"/>
  <c r="Z106" i="99"/>
  <c r="Z109" i="99"/>
  <c r="Z112" i="99"/>
  <c r="Z85" i="99"/>
  <c r="Z88" i="99"/>
  <c r="Z92" i="99"/>
  <c r="Z95" i="99"/>
  <c r="Z84" i="99"/>
  <c r="Z98" i="99"/>
  <c r="Z101" i="99"/>
  <c r="Z14" i="99"/>
  <c r="Z104" i="99"/>
  <c r="Z107" i="99"/>
  <c r="Z83" i="99"/>
  <c r="Z89" i="99"/>
  <c r="Z110" i="99"/>
  <c r="Z82" i="99"/>
  <c r="Z93" i="99"/>
  <c r="Z90" i="99"/>
  <c r="Z96" i="99"/>
  <c r="Z99" i="99"/>
  <c r="Z81" i="99"/>
  <c r="Z102" i="99"/>
  <c r="Z113" i="99"/>
  <c r="Z115" i="99"/>
  <c r="Z105" i="99"/>
  <c r="Z116" i="99"/>
  <c r="AA13" i="99"/>
  <c r="AA16" i="99" l="1"/>
  <c r="AA18" i="99"/>
  <c r="AA20" i="99"/>
  <c r="AA22" i="99"/>
  <c r="AA24" i="99"/>
  <c r="AA15" i="99"/>
  <c r="AA17" i="99"/>
  <c r="AA19" i="99"/>
  <c r="AA21" i="99"/>
  <c r="AA23" i="99"/>
  <c r="AA34" i="99"/>
  <c r="AA39" i="99"/>
  <c r="AA27" i="99"/>
  <c r="AA32" i="99"/>
  <c r="AA30" i="99"/>
  <c r="AA35" i="99"/>
  <c r="AA25" i="99"/>
  <c r="AA42" i="99"/>
  <c r="AA28" i="99"/>
  <c r="AA33" i="99"/>
  <c r="AA26" i="99"/>
  <c r="AA44" i="99"/>
  <c r="AA53" i="99"/>
  <c r="AA29" i="99"/>
  <c r="AA59" i="99"/>
  <c r="AA54" i="99"/>
  <c r="AA37" i="99"/>
  <c r="AA48" i="99"/>
  <c r="AA41" i="99"/>
  <c r="AA47" i="99"/>
  <c r="AA55" i="99"/>
  <c r="AA40" i="99"/>
  <c r="AA43" i="99"/>
  <c r="AA50" i="99"/>
  <c r="AA46" i="99"/>
  <c r="AA56" i="99"/>
  <c r="AA36" i="99"/>
  <c r="AA45" i="99"/>
  <c r="AA38" i="99"/>
  <c r="AA31" i="99"/>
  <c r="AA61" i="99"/>
  <c r="AA75" i="99"/>
  <c r="AA78" i="99"/>
  <c r="AA52" i="99"/>
  <c r="AA70" i="99"/>
  <c r="AA57" i="99"/>
  <c r="AA51" i="99"/>
  <c r="AA76" i="99"/>
  <c r="AA60" i="99"/>
  <c r="AA71" i="99"/>
  <c r="AA65" i="99"/>
  <c r="AA72" i="99"/>
  <c r="AA66" i="99"/>
  <c r="AA77" i="99"/>
  <c r="AA79" i="99"/>
  <c r="AA49" i="99"/>
  <c r="AA64" i="99"/>
  <c r="AA67" i="99"/>
  <c r="AA63" i="99"/>
  <c r="AA73" i="99"/>
  <c r="AA58" i="99"/>
  <c r="AA68" i="99"/>
  <c r="AA62" i="99"/>
  <c r="AA74" i="99"/>
  <c r="AA81" i="99"/>
  <c r="AA102" i="99"/>
  <c r="AA105" i="99"/>
  <c r="AA69" i="99"/>
  <c r="AA108" i="99"/>
  <c r="AA111" i="99"/>
  <c r="AA91" i="99"/>
  <c r="AA94" i="99"/>
  <c r="AA97" i="99"/>
  <c r="AA100" i="99"/>
  <c r="AA103" i="99"/>
  <c r="AA80" i="99"/>
  <c r="AA86" i="99"/>
  <c r="AA87" i="99"/>
  <c r="AA106" i="99"/>
  <c r="AA109" i="99"/>
  <c r="AA112" i="99"/>
  <c r="AA85" i="99"/>
  <c r="AA88" i="99"/>
  <c r="AA92" i="99"/>
  <c r="AA95" i="99"/>
  <c r="AA104" i="99"/>
  <c r="AA107" i="99"/>
  <c r="AA84" i="99"/>
  <c r="AA98" i="99"/>
  <c r="AA101" i="99"/>
  <c r="AA83" i="99"/>
  <c r="AA89" i="99"/>
  <c r="AA110" i="99"/>
  <c r="AA82" i="99"/>
  <c r="AA93" i="99"/>
  <c r="AA90" i="99"/>
  <c r="AA113" i="99"/>
  <c r="AA96" i="99"/>
  <c r="AA115" i="99"/>
  <c r="AA14" i="99"/>
  <c r="AA116" i="99"/>
  <c r="AA114" i="99"/>
  <c r="AA99" i="99"/>
  <c r="AB13" i="99"/>
  <c r="AB16" i="99" l="1"/>
  <c r="AB18" i="99"/>
  <c r="AB20" i="99"/>
  <c r="AB22" i="99"/>
  <c r="AB24" i="99"/>
  <c r="AB15" i="99"/>
  <c r="AB17" i="99"/>
  <c r="AB19" i="99"/>
  <c r="AB21" i="99"/>
  <c r="AB23" i="99"/>
  <c r="AB25" i="99"/>
  <c r="AB29" i="99"/>
  <c r="AB41" i="99"/>
  <c r="AB34" i="99"/>
  <c r="AB39" i="99"/>
  <c r="AB27" i="99"/>
  <c r="AB30" i="99"/>
  <c r="AB35" i="99"/>
  <c r="AB40" i="99"/>
  <c r="AB42" i="99"/>
  <c r="AB28" i="99"/>
  <c r="AB26" i="99"/>
  <c r="AB36" i="99"/>
  <c r="AB44" i="99"/>
  <c r="AB46" i="99"/>
  <c r="AB38" i="99"/>
  <c r="AB64" i="99"/>
  <c r="AB37" i="99"/>
  <c r="AB32" i="99"/>
  <c r="AB48" i="99"/>
  <c r="AB60" i="99"/>
  <c r="AB47" i="99"/>
  <c r="AB43" i="99"/>
  <c r="AB50" i="99"/>
  <c r="AB61" i="99"/>
  <c r="AB45" i="99"/>
  <c r="AB51" i="99"/>
  <c r="AB33" i="99"/>
  <c r="AB31" i="99"/>
  <c r="AB69" i="99"/>
  <c r="AB75" i="99"/>
  <c r="AB78" i="99"/>
  <c r="AB80" i="99"/>
  <c r="AB52" i="99"/>
  <c r="AB70" i="99"/>
  <c r="AB55" i="99"/>
  <c r="AB57" i="99"/>
  <c r="AB53" i="99"/>
  <c r="AB71" i="99"/>
  <c r="AB59" i="99"/>
  <c r="AB65" i="99"/>
  <c r="AB72" i="99"/>
  <c r="AB66" i="99"/>
  <c r="AB77" i="99"/>
  <c r="AB79" i="99"/>
  <c r="AB49" i="99"/>
  <c r="AB67" i="99"/>
  <c r="AB54" i="99"/>
  <c r="AB56" i="99"/>
  <c r="AB63" i="99"/>
  <c r="AB73" i="99"/>
  <c r="AB58" i="99"/>
  <c r="AB68" i="99"/>
  <c r="AB62" i="99"/>
  <c r="AB90" i="99"/>
  <c r="AB96" i="99"/>
  <c r="AB99" i="99"/>
  <c r="AB81" i="99"/>
  <c r="AB102" i="99"/>
  <c r="AB105" i="99"/>
  <c r="AB108" i="99"/>
  <c r="AB111" i="99"/>
  <c r="AB91" i="99"/>
  <c r="AB94" i="99"/>
  <c r="AB97" i="99"/>
  <c r="AB76" i="99"/>
  <c r="AB100" i="99"/>
  <c r="AB103" i="99"/>
  <c r="AB114" i="99"/>
  <c r="AB116" i="99"/>
  <c r="AB106" i="99"/>
  <c r="AB109" i="99"/>
  <c r="AB107" i="99"/>
  <c r="AB86" i="99"/>
  <c r="AB87" i="99"/>
  <c r="AB112" i="99"/>
  <c r="AB85" i="99"/>
  <c r="AB88" i="99"/>
  <c r="AB92" i="99"/>
  <c r="AB95" i="99"/>
  <c r="AB84" i="99"/>
  <c r="AB98" i="99"/>
  <c r="AB101" i="99"/>
  <c r="AB74" i="99"/>
  <c r="AB104" i="99"/>
  <c r="AB83" i="99"/>
  <c r="AB89" i="99"/>
  <c r="AB110" i="99"/>
  <c r="AB113" i="99"/>
  <c r="AB115" i="99"/>
  <c r="AB82" i="99"/>
  <c r="AB93" i="99"/>
  <c r="AB14" i="99"/>
  <c r="AC13" i="99"/>
  <c r="AC16" i="99" l="1"/>
  <c r="AC18" i="99"/>
  <c r="AC20" i="99"/>
  <c r="AC22" i="99"/>
  <c r="AC24" i="99"/>
  <c r="AC15" i="99"/>
  <c r="AC17" i="99"/>
  <c r="AC19" i="99"/>
  <c r="AC21" i="99"/>
  <c r="AC23" i="99"/>
  <c r="AC25" i="99"/>
  <c r="AC29" i="99"/>
  <c r="AC41" i="99"/>
  <c r="AC34" i="99"/>
  <c r="AC39" i="99"/>
  <c r="AC30" i="99"/>
  <c r="AC35" i="99"/>
  <c r="AC40" i="99"/>
  <c r="AC28" i="99"/>
  <c r="AC33" i="99"/>
  <c r="AC26" i="99"/>
  <c r="AC31" i="99"/>
  <c r="AC38" i="99"/>
  <c r="AC44" i="99"/>
  <c r="AC53" i="99"/>
  <c r="AC27" i="99"/>
  <c r="AC37" i="99"/>
  <c r="AC42" i="99"/>
  <c r="AC49" i="99"/>
  <c r="AC32" i="99"/>
  <c r="AC48" i="99"/>
  <c r="AC47" i="99"/>
  <c r="AC43" i="99"/>
  <c r="AC46" i="99"/>
  <c r="AC50" i="99"/>
  <c r="AC36" i="99"/>
  <c r="AC56" i="99"/>
  <c r="AC45" i="99"/>
  <c r="AC74" i="99"/>
  <c r="AC69" i="99"/>
  <c r="AC61" i="99"/>
  <c r="AC75" i="99"/>
  <c r="AC78" i="99"/>
  <c r="AC80" i="99"/>
  <c r="AC82" i="99"/>
  <c r="AC84" i="99"/>
  <c r="AC86" i="99"/>
  <c r="AC52" i="99"/>
  <c r="AC70" i="99"/>
  <c r="AC51" i="99"/>
  <c r="AC55" i="99"/>
  <c r="AC57" i="99"/>
  <c r="AC60" i="99"/>
  <c r="AC76" i="99"/>
  <c r="AC71" i="99"/>
  <c r="AC59" i="99"/>
  <c r="AC65" i="99"/>
  <c r="AC72" i="99"/>
  <c r="AC64" i="99"/>
  <c r="AC66" i="99"/>
  <c r="AC77" i="99"/>
  <c r="AC79" i="99"/>
  <c r="AC81" i="99"/>
  <c r="AC83" i="99"/>
  <c r="AC85" i="99"/>
  <c r="AC67" i="99"/>
  <c r="AC54" i="99"/>
  <c r="AC63" i="99"/>
  <c r="AC73" i="99"/>
  <c r="AC58" i="99"/>
  <c r="AC68" i="99"/>
  <c r="AC93" i="99"/>
  <c r="AC90" i="99"/>
  <c r="AC96" i="99"/>
  <c r="AC99" i="99"/>
  <c r="AC102" i="99"/>
  <c r="AC105" i="99"/>
  <c r="AC108" i="99"/>
  <c r="AC62" i="99"/>
  <c r="AC111" i="99"/>
  <c r="AC91" i="99"/>
  <c r="AC94" i="99"/>
  <c r="AC97" i="99"/>
  <c r="AC100" i="99"/>
  <c r="AC114" i="99"/>
  <c r="AC103" i="99"/>
  <c r="AC116" i="99"/>
  <c r="AC87" i="99"/>
  <c r="AC106" i="99"/>
  <c r="AC109" i="99"/>
  <c r="AC112" i="99"/>
  <c r="AC88" i="99"/>
  <c r="AC92" i="99"/>
  <c r="AC95" i="99"/>
  <c r="AC98" i="99"/>
  <c r="AC101" i="99"/>
  <c r="AC104" i="99"/>
  <c r="AC107" i="99"/>
  <c r="AC89" i="99"/>
  <c r="AC110" i="99"/>
  <c r="AC14" i="99"/>
  <c r="AC113" i="99"/>
  <c r="AC115" i="99"/>
  <c r="AD13" i="99"/>
  <c r="AD16" i="99" l="1"/>
  <c r="AD18" i="99"/>
  <c r="AD20" i="99"/>
  <c r="AD22" i="99"/>
  <c r="AD24" i="99"/>
  <c r="AD26" i="99"/>
  <c r="AD28" i="99"/>
  <c r="AD30" i="99"/>
  <c r="AD32" i="99"/>
  <c r="AD34" i="99"/>
  <c r="AD36" i="99"/>
  <c r="AD38" i="99"/>
  <c r="AD40" i="99"/>
  <c r="AD42" i="99"/>
  <c r="AD44" i="99"/>
  <c r="AD46" i="99"/>
  <c r="AD48" i="99"/>
  <c r="AD15" i="99"/>
  <c r="AD17" i="99"/>
  <c r="AD19" i="99"/>
  <c r="AD21" i="99"/>
  <c r="AD23" i="99"/>
  <c r="AD25" i="99"/>
  <c r="AD27" i="99"/>
  <c r="AD29" i="99"/>
  <c r="AD31" i="99"/>
  <c r="AD33" i="99"/>
  <c r="AD35" i="99"/>
  <c r="AD37" i="99"/>
  <c r="AD39" i="99"/>
  <c r="AD41" i="99"/>
  <c r="AD43" i="99"/>
  <c r="AD45" i="99"/>
  <c r="AD47" i="99"/>
  <c r="AD52" i="99"/>
  <c r="AD58" i="99"/>
  <c r="AD67" i="99"/>
  <c r="AD53" i="99"/>
  <c r="AD54" i="99"/>
  <c r="AD49" i="99"/>
  <c r="AD55" i="99"/>
  <c r="AD68" i="99"/>
  <c r="AD70" i="99"/>
  <c r="AD72" i="99"/>
  <c r="AD74" i="99"/>
  <c r="AD76" i="99"/>
  <c r="AD62" i="99"/>
  <c r="AD69" i="99"/>
  <c r="AD61" i="99"/>
  <c r="AD75" i="99"/>
  <c r="AD51" i="99"/>
  <c r="AD57" i="99"/>
  <c r="AD60" i="99"/>
  <c r="AD50" i="99"/>
  <c r="AD71" i="99"/>
  <c r="AD59" i="99"/>
  <c r="AD65" i="99"/>
  <c r="AD64" i="99"/>
  <c r="AD66" i="99"/>
  <c r="AD56" i="99"/>
  <c r="AD63" i="99"/>
  <c r="AD73" i="99"/>
  <c r="AD82" i="99"/>
  <c r="AD113" i="99"/>
  <c r="AD93" i="99"/>
  <c r="AD81" i="99"/>
  <c r="AD90" i="99"/>
  <c r="AD96" i="99"/>
  <c r="AD99" i="99"/>
  <c r="AD105" i="99"/>
  <c r="AD102" i="99"/>
  <c r="AD111" i="99"/>
  <c r="AD108" i="99"/>
  <c r="AD79" i="99"/>
  <c r="AD91" i="99"/>
  <c r="AD94" i="99"/>
  <c r="AD97" i="99"/>
  <c r="AD80" i="99"/>
  <c r="AD114" i="99"/>
  <c r="AD86" i="99"/>
  <c r="AD100" i="99"/>
  <c r="AD103" i="99"/>
  <c r="AD116" i="99"/>
  <c r="AD87" i="99"/>
  <c r="AD106" i="99"/>
  <c r="AD109" i="99"/>
  <c r="AD112" i="99"/>
  <c r="AD78" i="99"/>
  <c r="AD85" i="99"/>
  <c r="AD84" i="99"/>
  <c r="AD88" i="99"/>
  <c r="AD92" i="99"/>
  <c r="AD95" i="99"/>
  <c r="AD98" i="99"/>
  <c r="AD101" i="99"/>
  <c r="AD77" i="99"/>
  <c r="AD83" i="99"/>
  <c r="AD104" i="99"/>
  <c r="AD107" i="99"/>
  <c r="AD89" i="99"/>
  <c r="AD110" i="99"/>
  <c r="AD115" i="99"/>
  <c r="AD14" i="99"/>
  <c r="AE13" i="99"/>
  <c r="AE15" i="99" l="1"/>
  <c r="AE17" i="99"/>
  <c r="AE19" i="99"/>
  <c r="AE21" i="99"/>
  <c r="AE23" i="99"/>
  <c r="AE25" i="99"/>
  <c r="AE27" i="99"/>
  <c r="AE29" i="99"/>
  <c r="AE31" i="99"/>
  <c r="AE33" i="99"/>
  <c r="AE35" i="99"/>
  <c r="AE37" i="99"/>
  <c r="AE39" i="99"/>
  <c r="AE41" i="99"/>
  <c r="AE43" i="99"/>
  <c r="AE16" i="99"/>
  <c r="AE18" i="99"/>
  <c r="AE20" i="99"/>
  <c r="AE22" i="99"/>
  <c r="AE24" i="99"/>
  <c r="AE26" i="99"/>
  <c r="AE28" i="99"/>
  <c r="AE30" i="99"/>
  <c r="AE32" i="99"/>
  <c r="AE34" i="99"/>
  <c r="AE36" i="99"/>
  <c r="AE38" i="99"/>
  <c r="AE40" i="99"/>
  <c r="AE42" i="99"/>
  <c r="AE48" i="99"/>
  <c r="AE45" i="99"/>
  <c r="AE44" i="99"/>
  <c r="AE63" i="99"/>
  <c r="AE69" i="99"/>
  <c r="AE71" i="99"/>
  <c r="AE73" i="99"/>
  <c r="AE75" i="99"/>
  <c r="AE59" i="99"/>
  <c r="AE49" i="99"/>
  <c r="AE47" i="99"/>
  <c r="AE60" i="99"/>
  <c r="AE46" i="99"/>
  <c r="AE50" i="99"/>
  <c r="AE62" i="99"/>
  <c r="AE74" i="99"/>
  <c r="AE61" i="99"/>
  <c r="AE52" i="99"/>
  <c r="AE70" i="99"/>
  <c r="AE55" i="99"/>
  <c r="AE51" i="99"/>
  <c r="AE53" i="99"/>
  <c r="AE57" i="99"/>
  <c r="AE76" i="99"/>
  <c r="AE72" i="99"/>
  <c r="AE65" i="99"/>
  <c r="AE64" i="99"/>
  <c r="AE66" i="99"/>
  <c r="AE67" i="99"/>
  <c r="AE77" i="99"/>
  <c r="AE54" i="99"/>
  <c r="AE56" i="99"/>
  <c r="AE89" i="99"/>
  <c r="AE110" i="99"/>
  <c r="AE82" i="99"/>
  <c r="AE113" i="99"/>
  <c r="AE93" i="99"/>
  <c r="AE99" i="99"/>
  <c r="AE81" i="99"/>
  <c r="AE90" i="99"/>
  <c r="AE96" i="99"/>
  <c r="AE102" i="99"/>
  <c r="AE105" i="99"/>
  <c r="AE108" i="99"/>
  <c r="AE111" i="99"/>
  <c r="AE79" i="99"/>
  <c r="AE91" i="99"/>
  <c r="AE80" i="99"/>
  <c r="AE94" i="99"/>
  <c r="AE97" i="99"/>
  <c r="AE86" i="99"/>
  <c r="AE100" i="99"/>
  <c r="AE103" i="99"/>
  <c r="AE114" i="99"/>
  <c r="AE116" i="99"/>
  <c r="AE106" i="99"/>
  <c r="AE109" i="99"/>
  <c r="AE112" i="99"/>
  <c r="AE87" i="99"/>
  <c r="AE78" i="99"/>
  <c r="AE85" i="99"/>
  <c r="AE58" i="99"/>
  <c r="AE84" i="99"/>
  <c r="AE88" i="99"/>
  <c r="AE92" i="99"/>
  <c r="AE95" i="99"/>
  <c r="AE98" i="99"/>
  <c r="AE101" i="99"/>
  <c r="AE68" i="99"/>
  <c r="AE83" i="99"/>
  <c r="AE104" i="99"/>
  <c r="AE115" i="99"/>
  <c r="AE14" i="99"/>
  <c r="AE107" i="99"/>
  <c r="AF13" i="99"/>
  <c r="AF15" i="99" l="1"/>
  <c r="AF17" i="99"/>
  <c r="AF19" i="99"/>
  <c r="AF21" i="99"/>
  <c r="AF23" i="99"/>
  <c r="AF16" i="99"/>
  <c r="AF18" i="99"/>
  <c r="AF20" i="99"/>
  <c r="AF22" i="99"/>
  <c r="AF24" i="99"/>
  <c r="AF26" i="99"/>
  <c r="AF28" i="99"/>
  <c r="AF30" i="99"/>
  <c r="AF32" i="99"/>
  <c r="AF34" i="99"/>
  <c r="AF36" i="99"/>
  <c r="AF38" i="99"/>
  <c r="AF40" i="99"/>
  <c r="AF42" i="99"/>
  <c r="AF44" i="99"/>
  <c r="AF29" i="99"/>
  <c r="AF37" i="99"/>
  <c r="AF25" i="99"/>
  <c r="AF35" i="99"/>
  <c r="AF31" i="99"/>
  <c r="AF52" i="99"/>
  <c r="AF27" i="99"/>
  <c r="AF41" i="99"/>
  <c r="AF48" i="99"/>
  <c r="AF49" i="99"/>
  <c r="AF65" i="99"/>
  <c r="AF43" i="99"/>
  <c r="AF47" i="99"/>
  <c r="AF46" i="99"/>
  <c r="AF55" i="99"/>
  <c r="AF39" i="99"/>
  <c r="AF45" i="99"/>
  <c r="AF51" i="99"/>
  <c r="AF58" i="99"/>
  <c r="AF68" i="99"/>
  <c r="AF33" i="99"/>
  <c r="AF62" i="99"/>
  <c r="AF74" i="99"/>
  <c r="AF69" i="99"/>
  <c r="AF61" i="99"/>
  <c r="AF70" i="99"/>
  <c r="AF78" i="99"/>
  <c r="AF80" i="99"/>
  <c r="AF82" i="99"/>
  <c r="AF84" i="99"/>
  <c r="AF86" i="99"/>
  <c r="AF88" i="99"/>
  <c r="AF90" i="99"/>
  <c r="AF92" i="99"/>
  <c r="AF94" i="99"/>
  <c r="AF96" i="99"/>
  <c r="AF98" i="99"/>
  <c r="AF100" i="99"/>
  <c r="AF102" i="99"/>
  <c r="AF104" i="99"/>
  <c r="AF106" i="99"/>
  <c r="AF108" i="99"/>
  <c r="AF110" i="99"/>
  <c r="AF112" i="99"/>
  <c r="AF53" i="99"/>
  <c r="AF57" i="99"/>
  <c r="AF60" i="99"/>
  <c r="AF76" i="99"/>
  <c r="AF50" i="99"/>
  <c r="AF71" i="99"/>
  <c r="AF59" i="99"/>
  <c r="AF72" i="99"/>
  <c r="AF64" i="99"/>
  <c r="AF66" i="99"/>
  <c r="AF67" i="99"/>
  <c r="AF77" i="99"/>
  <c r="AF79" i="99"/>
  <c r="AF81" i="99"/>
  <c r="AF83" i="99"/>
  <c r="AF85" i="99"/>
  <c r="AF87" i="99"/>
  <c r="AF89" i="99"/>
  <c r="AF75" i="99"/>
  <c r="AF107" i="99"/>
  <c r="AF113" i="99"/>
  <c r="AF115" i="99"/>
  <c r="AF93" i="99"/>
  <c r="AF99" i="99"/>
  <c r="AF63" i="99"/>
  <c r="AF105" i="99"/>
  <c r="AF54" i="99"/>
  <c r="AF111" i="99"/>
  <c r="AF91" i="99"/>
  <c r="AF56" i="99"/>
  <c r="AF97" i="99"/>
  <c r="AF114" i="99"/>
  <c r="AF116" i="99"/>
  <c r="AF109" i="99"/>
  <c r="AF73" i="99"/>
  <c r="AF103" i="99"/>
  <c r="AF95" i="99"/>
  <c r="AF14" i="99"/>
  <c r="AF101" i="99"/>
  <c r="AG13" i="99"/>
  <c r="AG15" i="99" l="1"/>
  <c r="AG17" i="99"/>
  <c r="AG19" i="99"/>
  <c r="AG21" i="99"/>
  <c r="AG23" i="99"/>
  <c r="AG25" i="99"/>
  <c r="AG27" i="99"/>
  <c r="AG29" i="99"/>
  <c r="AG31" i="99"/>
  <c r="AG33" i="99"/>
  <c r="AG35" i="99"/>
  <c r="AG37" i="99"/>
  <c r="AG39" i="99"/>
  <c r="AG41" i="99"/>
  <c r="AG16" i="99"/>
  <c r="AG18" i="99"/>
  <c r="AG20" i="99"/>
  <c r="AG22" i="99"/>
  <c r="AG24" i="99"/>
  <c r="AG36" i="99"/>
  <c r="AG34" i="99"/>
  <c r="AG32" i="99"/>
  <c r="AG30" i="99"/>
  <c r="AG51" i="99"/>
  <c r="AG26" i="99"/>
  <c r="AG38" i="99"/>
  <c r="AG57" i="99"/>
  <c r="AG44" i="99"/>
  <c r="AG52" i="99"/>
  <c r="AG53" i="99"/>
  <c r="AG42" i="99"/>
  <c r="AG40" i="99"/>
  <c r="AG48" i="99"/>
  <c r="AG54" i="99"/>
  <c r="AG28" i="99"/>
  <c r="AG43" i="99"/>
  <c r="AG47" i="99"/>
  <c r="AG46" i="99"/>
  <c r="AG56" i="99"/>
  <c r="AG63" i="99"/>
  <c r="AG73" i="99"/>
  <c r="AG58" i="99"/>
  <c r="AG68" i="99"/>
  <c r="AG62" i="99"/>
  <c r="AG74" i="99"/>
  <c r="AG69" i="99"/>
  <c r="AG61" i="99"/>
  <c r="AG75" i="99"/>
  <c r="AG55" i="99"/>
  <c r="AG70" i="99"/>
  <c r="AG78" i="99"/>
  <c r="AG80" i="99"/>
  <c r="AG60" i="99"/>
  <c r="AG76" i="99"/>
  <c r="AG50" i="99"/>
  <c r="AG71" i="99"/>
  <c r="AG49" i="99"/>
  <c r="AG45" i="99"/>
  <c r="AG59" i="99"/>
  <c r="AG65" i="99"/>
  <c r="AG72" i="99"/>
  <c r="AG83" i="99"/>
  <c r="AG101" i="99"/>
  <c r="AG104" i="99"/>
  <c r="AG89" i="99"/>
  <c r="AG107" i="99"/>
  <c r="AG110" i="99"/>
  <c r="AG82" i="99"/>
  <c r="AG14" i="99"/>
  <c r="AG115" i="99"/>
  <c r="AG113" i="99"/>
  <c r="AG81" i="99"/>
  <c r="AG90" i="99"/>
  <c r="AG93" i="99"/>
  <c r="AG96" i="99"/>
  <c r="AG99" i="99"/>
  <c r="AG102" i="99"/>
  <c r="AG105" i="99"/>
  <c r="AG108" i="99"/>
  <c r="AG64" i="99"/>
  <c r="AG111" i="99"/>
  <c r="AG79" i="99"/>
  <c r="AG91" i="99"/>
  <c r="AG94" i="99"/>
  <c r="AG106" i="99"/>
  <c r="AG109" i="99"/>
  <c r="AG86" i="99"/>
  <c r="AG97" i="99"/>
  <c r="AG100" i="99"/>
  <c r="AG114" i="99"/>
  <c r="AG66" i="99"/>
  <c r="AG87" i="99"/>
  <c r="AG103" i="99"/>
  <c r="AG116" i="99"/>
  <c r="AG85" i="99"/>
  <c r="AG67" i="99"/>
  <c r="AG84" i="99"/>
  <c r="AG88" i="99"/>
  <c r="AG92" i="99"/>
  <c r="AG77" i="99"/>
  <c r="AG95" i="99"/>
  <c r="AG98" i="99"/>
  <c r="AG112" i="99"/>
  <c r="AH13" i="99"/>
  <c r="AH15" i="99" l="1"/>
  <c r="AH17" i="99"/>
  <c r="AH19" i="99"/>
  <c r="AH21" i="99"/>
  <c r="AH23" i="99"/>
  <c r="AH16" i="99"/>
  <c r="AH18" i="99"/>
  <c r="AH20" i="99"/>
  <c r="AH22" i="99"/>
  <c r="AH24" i="99"/>
  <c r="AH26" i="99"/>
  <c r="AH28" i="99"/>
  <c r="AH30" i="99"/>
  <c r="AH32" i="99"/>
  <c r="AH34" i="99"/>
  <c r="AH36" i="99"/>
  <c r="AH38" i="99"/>
  <c r="AH40" i="99"/>
  <c r="AH31" i="99"/>
  <c r="AH29" i="99"/>
  <c r="AH27" i="99"/>
  <c r="AH43" i="99"/>
  <c r="AH47" i="99"/>
  <c r="AH50" i="99"/>
  <c r="AH52" i="99"/>
  <c r="AH54" i="99"/>
  <c r="AH56" i="99"/>
  <c r="AH58" i="99"/>
  <c r="AH60" i="99"/>
  <c r="AH62" i="99"/>
  <c r="AH64" i="99"/>
  <c r="AH66" i="99"/>
  <c r="AH37" i="99"/>
  <c r="AH25" i="99"/>
  <c r="AH49" i="99"/>
  <c r="AH51" i="99"/>
  <c r="AH53" i="99"/>
  <c r="AH55" i="99"/>
  <c r="AH57" i="99"/>
  <c r="AH59" i="99"/>
  <c r="AH61" i="99"/>
  <c r="AH63" i="99"/>
  <c r="AH44" i="99"/>
  <c r="AH41" i="99"/>
  <c r="AH42" i="99"/>
  <c r="AH48" i="99"/>
  <c r="AH39" i="99"/>
  <c r="AH46" i="99"/>
  <c r="AH33" i="99"/>
  <c r="AH35" i="99"/>
  <c r="AH45" i="99"/>
  <c r="AH67" i="99"/>
  <c r="AH77" i="99"/>
  <c r="AH79" i="99"/>
  <c r="AH73" i="99"/>
  <c r="AH68" i="99"/>
  <c r="AH74" i="99"/>
  <c r="AH69" i="99"/>
  <c r="AH75" i="99"/>
  <c r="AH70" i="99"/>
  <c r="AH78" i="99"/>
  <c r="AH80" i="99"/>
  <c r="AH76" i="99"/>
  <c r="AH71" i="99"/>
  <c r="AH65" i="99"/>
  <c r="AH72" i="99"/>
  <c r="AH95" i="99"/>
  <c r="AH98" i="99"/>
  <c r="AH83" i="99"/>
  <c r="AH101" i="99"/>
  <c r="AH104" i="99"/>
  <c r="AH89" i="99"/>
  <c r="AH107" i="99"/>
  <c r="AH110" i="99"/>
  <c r="AH14" i="99"/>
  <c r="AH113" i="99"/>
  <c r="AH82" i="99"/>
  <c r="AH81" i="99"/>
  <c r="AH90" i="99"/>
  <c r="AH93" i="99"/>
  <c r="AH96" i="99"/>
  <c r="AH99" i="99"/>
  <c r="AH102" i="99"/>
  <c r="AH105" i="99"/>
  <c r="AH108" i="99"/>
  <c r="AH111" i="99"/>
  <c r="AH91" i="99"/>
  <c r="AH94" i="99"/>
  <c r="AH86" i="99"/>
  <c r="AH97" i="99"/>
  <c r="AH100" i="99"/>
  <c r="AH87" i="99"/>
  <c r="AH103" i="99"/>
  <c r="AH106" i="99"/>
  <c r="AH85" i="99"/>
  <c r="AH109" i="99"/>
  <c r="AH112" i="99"/>
  <c r="AH84" i="99"/>
  <c r="AH88" i="99"/>
  <c r="AH92" i="99"/>
  <c r="AH116" i="99"/>
  <c r="AH115" i="99"/>
  <c r="AH114" i="99"/>
  <c r="AI13" i="99"/>
  <c r="AI15" i="99" l="1"/>
  <c r="AI17" i="99"/>
  <c r="AI19" i="99"/>
  <c r="AI21" i="99"/>
  <c r="AI23" i="99"/>
  <c r="AI16" i="99"/>
  <c r="AI18" i="99"/>
  <c r="AI20" i="99"/>
  <c r="AI22" i="99"/>
  <c r="AI24" i="99"/>
  <c r="AI26" i="99"/>
  <c r="AI31" i="99"/>
  <c r="AI36" i="99"/>
  <c r="AI27" i="99"/>
  <c r="AI32" i="99"/>
  <c r="AI37" i="99"/>
  <c r="AI25" i="99"/>
  <c r="AI30" i="99"/>
  <c r="AI33" i="99"/>
  <c r="AI38" i="99"/>
  <c r="AI35" i="99"/>
  <c r="AI45" i="99"/>
  <c r="AI51" i="99"/>
  <c r="AI29" i="99"/>
  <c r="AI62" i="99"/>
  <c r="AI57" i="99"/>
  <c r="AI44" i="99"/>
  <c r="AI58" i="99"/>
  <c r="AI34" i="99"/>
  <c r="AI40" i="99"/>
  <c r="AI41" i="99"/>
  <c r="AI42" i="99"/>
  <c r="AI59" i="99"/>
  <c r="AI28" i="99"/>
  <c r="AI48" i="99"/>
  <c r="AI49" i="99"/>
  <c r="AI43" i="99"/>
  <c r="AI47" i="99"/>
  <c r="AI54" i="99"/>
  <c r="AI64" i="99"/>
  <c r="AI66" i="99"/>
  <c r="AI56" i="99"/>
  <c r="AI63" i="99"/>
  <c r="AI67" i="99"/>
  <c r="AI77" i="99"/>
  <c r="AI79" i="99"/>
  <c r="AI73" i="99"/>
  <c r="AI68" i="99"/>
  <c r="AI74" i="99"/>
  <c r="AI39" i="99"/>
  <c r="AI52" i="99"/>
  <c r="AI69" i="99"/>
  <c r="AI61" i="99"/>
  <c r="AI55" i="99"/>
  <c r="AI75" i="99"/>
  <c r="AI53" i="99"/>
  <c r="AI70" i="99"/>
  <c r="AI78" i="99"/>
  <c r="AI60" i="99"/>
  <c r="AI50" i="99"/>
  <c r="AI76" i="99"/>
  <c r="AI71" i="99"/>
  <c r="AI46" i="99"/>
  <c r="AI84" i="99"/>
  <c r="AI88" i="99"/>
  <c r="AI92" i="99"/>
  <c r="AI95" i="99"/>
  <c r="AI98" i="99"/>
  <c r="AI83" i="99"/>
  <c r="AI101" i="99"/>
  <c r="AI104" i="99"/>
  <c r="AI110" i="99"/>
  <c r="AI89" i="99"/>
  <c r="AI107" i="99"/>
  <c r="AI82" i="99"/>
  <c r="AI81" i="99"/>
  <c r="AI90" i="99"/>
  <c r="AI93" i="99"/>
  <c r="AI96" i="99"/>
  <c r="AI102" i="99"/>
  <c r="AI99" i="99"/>
  <c r="AI72" i="99"/>
  <c r="AI105" i="99"/>
  <c r="AI108" i="99"/>
  <c r="AI65" i="99"/>
  <c r="AI80" i="99"/>
  <c r="AI111" i="99"/>
  <c r="AI91" i="99"/>
  <c r="AI94" i="99"/>
  <c r="AI86" i="99"/>
  <c r="AI97" i="99"/>
  <c r="AI100" i="99"/>
  <c r="AI87" i="99"/>
  <c r="AI103" i="99"/>
  <c r="AI106" i="99"/>
  <c r="AI85" i="99"/>
  <c r="AI109" i="99"/>
  <c r="AI112" i="99"/>
  <c r="AI113" i="99"/>
  <c r="AI115" i="99"/>
  <c r="AI116" i="99"/>
  <c r="AI114" i="99"/>
  <c r="AI14" i="99"/>
  <c r="AJ13" i="99"/>
  <c r="AJ15" i="99" l="1"/>
  <c r="AJ17" i="99"/>
  <c r="AJ19" i="99"/>
  <c r="AJ21" i="99"/>
  <c r="AJ23" i="99"/>
  <c r="AJ16" i="99"/>
  <c r="AJ18" i="99"/>
  <c r="AJ20" i="99"/>
  <c r="AJ22" i="99"/>
  <c r="AJ24" i="99"/>
  <c r="AJ26" i="99"/>
  <c r="AJ31" i="99"/>
  <c r="AJ36" i="99"/>
  <c r="AJ39" i="99"/>
  <c r="AJ27" i="99"/>
  <c r="AJ32" i="99"/>
  <c r="AJ37" i="99"/>
  <c r="AJ25" i="99"/>
  <c r="AJ30" i="99"/>
  <c r="AJ28" i="99"/>
  <c r="AJ42" i="99"/>
  <c r="AJ33" i="99"/>
  <c r="AJ35" i="99"/>
  <c r="AJ45" i="99"/>
  <c r="AJ51" i="99"/>
  <c r="AJ66" i="99"/>
  <c r="AJ29" i="99"/>
  <c r="AJ38" i="99"/>
  <c r="AJ44" i="99"/>
  <c r="AJ34" i="99"/>
  <c r="AJ64" i="99"/>
  <c r="AJ40" i="99"/>
  <c r="AJ41" i="99"/>
  <c r="AJ54" i="99"/>
  <c r="AJ43" i="99"/>
  <c r="AJ47" i="99"/>
  <c r="AJ46" i="99"/>
  <c r="AJ50" i="99"/>
  <c r="AJ65" i="99"/>
  <c r="AJ72" i="99"/>
  <c r="AJ56" i="99"/>
  <c r="AJ58" i="99"/>
  <c r="AJ63" i="99"/>
  <c r="AJ67" i="99"/>
  <c r="AJ77" i="99"/>
  <c r="AJ79" i="99"/>
  <c r="AJ48" i="99"/>
  <c r="AJ73" i="99"/>
  <c r="AJ62" i="99"/>
  <c r="AJ68" i="99"/>
  <c r="AJ74" i="99"/>
  <c r="AJ52" i="99"/>
  <c r="AJ69" i="99"/>
  <c r="AJ61" i="99"/>
  <c r="AJ55" i="99"/>
  <c r="AJ57" i="99"/>
  <c r="AJ75" i="99"/>
  <c r="AJ53" i="99"/>
  <c r="AJ70" i="99"/>
  <c r="AJ78" i="99"/>
  <c r="AJ60" i="99"/>
  <c r="AJ49" i="99"/>
  <c r="AJ71" i="99"/>
  <c r="AJ59" i="99"/>
  <c r="AJ84" i="99"/>
  <c r="AJ88" i="99"/>
  <c r="AJ92" i="99"/>
  <c r="AJ95" i="99"/>
  <c r="AJ98" i="99"/>
  <c r="AJ101" i="99"/>
  <c r="AJ104" i="99"/>
  <c r="AJ83" i="99"/>
  <c r="AJ107" i="99"/>
  <c r="AJ89" i="99"/>
  <c r="AJ110" i="99"/>
  <c r="AJ82" i="99"/>
  <c r="AJ113" i="99"/>
  <c r="AJ115" i="99"/>
  <c r="AJ93" i="99"/>
  <c r="AJ76" i="99"/>
  <c r="AJ81" i="99"/>
  <c r="AJ90" i="99"/>
  <c r="AJ96" i="99"/>
  <c r="AJ99" i="99"/>
  <c r="AJ102" i="99"/>
  <c r="AJ105" i="99"/>
  <c r="AJ108" i="99"/>
  <c r="AJ80" i="99"/>
  <c r="AJ111" i="99"/>
  <c r="AJ91" i="99"/>
  <c r="AJ94" i="99"/>
  <c r="AJ86" i="99"/>
  <c r="AJ97" i="99"/>
  <c r="AJ100" i="99"/>
  <c r="AJ87" i="99"/>
  <c r="AJ103" i="99"/>
  <c r="AJ106" i="99"/>
  <c r="AJ114" i="99"/>
  <c r="AJ116" i="99"/>
  <c r="AJ85" i="99"/>
  <c r="AJ109" i="99"/>
  <c r="AJ112" i="99"/>
  <c r="AJ14" i="99"/>
  <c r="AK13" i="99"/>
  <c r="AK15" i="99" l="1"/>
  <c r="AK17" i="99"/>
  <c r="AK19" i="99"/>
  <c r="AK21" i="99"/>
  <c r="AK23" i="99"/>
  <c r="AK16" i="99"/>
  <c r="AK18" i="99"/>
  <c r="AK20" i="99"/>
  <c r="AK22" i="99"/>
  <c r="AK24" i="99"/>
  <c r="AK33" i="99"/>
  <c r="AK38" i="99"/>
  <c r="AK26" i="99"/>
  <c r="AK31" i="99"/>
  <c r="AK29" i="99"/>
  <c r="AK34" i="99"/>
  <c r="AK41" i="99"/>
  <c r="AK46" i="99"/>
  <c r="AK39" i="99"/>
  <c r="AK27" i="99"/>
  <c r="AK32" i="99"/>
  <c r="AK25" i="99"/>
  <c r="AK50" i="99"/>
  <c r="AK35" i="99"/>
  <c r="AK45" i="99"/>
  <c r="AK56" i="99"/>
  <c r="AK51" i="99"/>
  <c r="AK52" i="99"/>
  <c r="AK37" i="99"/>
  <c r="AK44" i="99"/>
  <c r="AK30" i="99"/>
  <c r="AK53" i="99"/>
  <c r="AK67" i="99"/>
  <c r="AK42" i="99"/>
  <c r="AK40" i="99"/>
  <c r="AK28" i="99"/>
  <c r="AK36" i="99"/>
  <c r="AK48" i="99"/>
  <c r="AK47" i="99"/>
  <c r="AK54" i="99"/>
  <c r="AK64" i="99"/>
  <c r="AK65" i="99"/>
  <c r="AK66" i="99"/>
  <c r="AK72" i="99"/>
  <c r="AK58" i="99"/>
  <c r="AK63" i="99"/>
  <c r="AK77" i="99"/>
  <c r="AK79" i="99"/>
  <c r="AK81" i="99"/>
  <c r="AK83" i="99"/>
  <c r="AK85" i="99"/>
  <c r="AK73" i="99"/>
  <c r="AK62" i="99"/>
  <c r="AK68" i="99"/>
  <c r="AK74" i="99"/>
  <c r="AK69" i="99"/>
  <c r="AK61" i="99"/>
  <c r="AK43" i="99"/>
  <c r="AK55" i="99"/>
  <c r="AK57" i="99"/>
  <c r="AK75" i="99"/>
  <c r="AK70" i="99"/>
  <c r="AK78" i="99"/>
  <c r="AK80" i="99"/>
  <c r="AK82" i="99"/>
  <c r="AK84" i="99"/>
  <c r="AK86" i="99"/>
  <c r="AK60" i="99"/>
  <c r="AK76" i="99"/>
  <c r="AK49" i="99"/>
  <c r="AK71" i="99"/>
  <c r="AK109" i="99"/>
  <c r="AK112" i="99"/>
  <c r="AK88" i="99"/>
  <c r="AK92" i="99"/>
  <c r="AK98" i="99"/>
  <c r="AK95" i="99"/>
  <c r="AK101" i="99"/>
  <c r="AK104" i="99"/>
  <c r="AK89" i="99"/>
  <c r="AK107" i="99"/>
  <c r="AK110" i="99"/>
  <c r="AK14" i="99"/>
  <c r="AK113" i="99"/>
  <c r="AK115" i="99"/>
  <c r="AK90" i="99"/>
  <c r="AK93" i="99"/>
  <c r="AK96" i="99"/>
  <c r="AK99" i="99"/>
  <c r="AK102" i="99"/>
  <c r="AK105" i="99"/>
  <c r="AK108" i="99"/>
  <c r="AK111" i="99"/>
  <c r="AK91" i="99"/>
  <c r="AK94" i="99"/>
  <c r="AK59" i="99"/>
  <c r="AK97" i="99"/>
  <c r="AK100" i="99"/>
  <c r="AK87" i="99"/>
  <c r="AK103" i="99"/>
  <c r="AK114" i="99"/>
  <c r="AK116" i="99"/>
  <c r="AK106" i="99"/>
  <c r="AL13" i="99"/>
  <c r="AL15" i="99" l="1"/>
  <c r="AL17" i="99"/>
  <c r="AL19" i="99"/>
  <c r="AL21" i="99"/>
  <c r="AL23" i="99"/>
  <c r="AL25" i="99"/>
  <c r="AL27" i="99"/>
  <c r="AL29" i="99"/>
  <c r="AL31" i="99"/>
  <c r="AL33" i="99"/>
  <c r="AL35" i="99"/>
  <c r="AL37" i="99"/>
  <c r="AL39" i="99"/>
  <c r="AL41" i="99"/>
  <c r="AL43" i="99"/>
  <c r="AL45" i="99"/>
  <c r="AL47" i="99"/>
  <c r="AL16" i="99"/>
  <c r="AL18" i="99"/>
  <c r="AL20" i="99"/>
  <c r="AL22" i="99"/>
  <c r="AL24" i="99"/>
  <c r="AL26" i="99"/>
  <c r="AL28" i="99"/>
  <c r="AL30" i="99"/>
  <c r="AL32" i="99"/>
  <c r="AL34" i="99"/>
  <c r="AL36" i="99"/>
  <c r="AL38" i="99"/>
  <c r="AL40" i="99"/>
  <c r="AL42" i="99"/>
  <c r="AL44" i="99"/>
  <c r="AL46" i="99"/>
  <c r="AL48" i="99"/>
  <c r="AL50" i="99"/>
  <c r="AL61" i="99"/>
  <c r="AL56" i="99"/>
  <c r="AL57" i="99"/>
  <c r="AL52" i="99"/>
  <c r="AL58" i="99"/>
  <c r="AL69" i="99"/>
  <c r="AL71" i="99"/>
  <c r="AL73" i="99"/>
  <c r="AL75" i="99"/>
  <c r="AL59" i="99"/>
  <c r="AL54" i="99"/>
  <c r="AL64" i="99"/>
  <c r="AL65" i="99"/>
  <c r="AL66" i="99"/>
  <c r="AL72" i="99"/>
  <c r="AL67" i="99"/>
  <c r="AL63" i="99"/>
  <c r="AL62" i="99"/>
  <c r="AL68" i="99"/>
  <c r="AL51" i="99"/>
  <c r="AL74" i="99"/>
  <c r="AL53" i="99"/>
  <c r="AL55" i="99"/>
  <c r="AL70" i="99"/>
  <c r="AL60" i="99"/>
  <c r="AL76" i="99"/>
  <c r="AL77" i="99"/>
  <c r="AL85" i="99"/>
  <c r="AL87" i="99"/>
  <c r="AL103" i="99"/>
  <c r="AL106" i="99"/>
  <c r="AL114" i="99"/>
  <c r="AL49" i="99"/>
  <c r="AL109" i="99"/>
  <c r="AL112" i="99"/>
  <c r="AL84" i="99"/>
  <c r="AL88" i="99"/>
  <c r="AL92" i="99"/>
  <c r="AL83" i="99"/>
  <c r="AL95" i="99"/>
  <c r="AL98" i="99"/>
  <c r="AL101" i="99"/>
  <c r="AL104" i="99"/>
  <c r="AL82" i="99"/>
  <c r="AL89" i="99"/>
  <c r="AL107" i="99"/>
  <c r="AL110" i="99"/>
  <c r="AL14" i="99"/>
  <c r="AL113" i="99"/>
  <c r="AL111" i="99"/>
  <c r="AL115" i="99"/>
  <c r="AL81" i="99"/>
  <c r="AL79" i="99"/>
  <c r="AL90" i="99"/>
  <c r="AL93" i="99"/>
  <c r="AL96" i="99"/>
  <c r="AL102" i="99"/>
  <c r="AL108" i="99"/>
  <c r="AL99" i="99"/>
  <c r="AL80" i="99"/>
  <c r="AL105" i="99"/>
  <c r="AL78" i="99"/>
  <c r="AL86" i="99"/>
  <c r="AL91" i="99"/>
  <c r="AL94" i="99"/>
  <c r="AL97" i="99"/>
  <c r="AL100" i="99"/>
  <c r="AL116" i="99"/>
  <c r="AM13" i="99"/>
  <c r="AM16" i="99" l="1"/>
  <c r="AM18" i="99"/>
  <c r="AM20" i="99"/>
  <c r="AM22" i="99"/>
  <c r="AM24" i="99"/>
  <c r="AM26" i="99"/>
  <c r="AM28" i="99"/>
  <c r="AM30" i="99"/>
  <c r="AM32" i="99"/>
  <c r="AM34" i="99"/>
  <c r="AM36" i="99"/>
  <c r="AM38" i="99"/>
  <c r="AM40" i="99"/>
  <c r="AM42" i="99"/>
  <c r="AM44" i="99"/>
  <c r="AM15" i="99"/>
  <c r="AM17" i="99"/>
  <c r="AM19" i="99"/>
  <c r="AM21" i="99"/>
  <c r="AM23" i="99"/>
  <c r="AM25" i="99"/>
  <c r="AM27" i="99"/>
  <c r="AM29" i="99"/>
  <c r="AM31" i="99"/>
  <c r="AM33" i="99"/>
  <c r="AM35" i="99"/>
  <c r="AM37" i="99"/>
  <c r="AM39" i="99"/>
  <c r="AM41" i="99"/>
  <c r="AM43" i="99"/>
  <c r="AM46" i="99"/>
  <c r="AM50" i="99"/>
  <c r="AM68" i="99"/>
  <c r="AM70" i="99"/>
  <c r="AM72" i="99"/>
  <c r="AM74" i="99"/>
  <c r="AM76" i="99"/>
  <c r="AM45" i="99"/>
  <c r="AM62" i="99"/>
  <c r="AM52" i="99"/>
  <c r="AM63" i="99"/>
  <c r="AM53" i="99"/>
  <c r="AM47" i="99"/>
  <c r="AM49" i="99"/>
  <c r="AM59" i="99"/>
  <c r="AM54" i="99"/>
  <c r="AM56" i="99"/>
  <c r="AM64" i="99"/>
  <c r="AM65" i="99"/>
  <c r="AM66" i="99"/>
  <c r="AM48" i="99"/>
  <c r="AM58" i="99"/>
  <c r="AM67" i="99"/>
  <c r="AM73" i="99"/>
  <c r="AM51" i="99"/>
  <c r="AM69" i="99"/>
  <c r="AM61" i="99"/>
  <c r="AM57" i="99"/>
  <c r="AM75" i="99"/>
  <c r="AM55" i="99"/>
  <c r="AM60" i="99"/>
  <c r="AM97" i="99"/>
  <c r="AM100" i="99"/>
  <c r="AM77" i="99"/>
  <c r="AM85" i="99"/>
  <c r="AM87" i="99"/>
  <c r="AM103" i="99"/>
  <c r="AM106" i="99"/>
  <c r="AM114" i="99"/>
  <c r="AM109" i="99"/>
  <c r="AM112" i="99"/>
  <c r="AM84" i="99"/>
  <c r="AM88" i="99"/>
  <c r="AM92" i="99"/>
  <c r="AM83" i="99"/>
  <c r="AM95" i="99"/>
  <c r="AM98" i="99"/>
  <c r="AM71" i="99"/>
  <c r="AM101" i="99"/>
  <c r="AM104" i="99"/>
  <c r="AM107" i="99"/>
  <c r="AM82" i="99"/>
  <c r="AM89" i="99"/>
  <c r="AM110" i="99"/>
  <c r="AM14" i="99"/>
  <c r="AM81" i="99"/>
  <c r="AM113" i="99"/>
  <c r="AM115" i="99"/>
  <c r="AM79" i="99"/>
  <c r="AM90" i="99"/>
  <c r="AM93" i="99"/>
  <c r="AM96" i="99"/>
  <c r="AM99" i="99"/>
  <c r="AM102" i="99"/>
  <c r="AM80" i="99"/>
  <c r="AM105" i="99"/>
  <c r="AM108" i="99"/>
  <c r="AM78" i="99"/>
  <c r="AM111" i="99"/>
  <c r="AM86" i="99"/>
  <c r="AM91" i="99"/>
  <c r="AM94" i="99"/>
  <c r="AM116" i="99"/>
  <c r="AN13" i="99"/>
  <c r="AN16" i="99" l="1"/>
  <c r="AN18" i="99"/>
  <c r="AN20" i="99"/>
  <c r="AN22" i="99"/>
  <c r="AN24" i="99"/>
  <c r="AN15" i="99"/>
  <c r="AN17" i="99"/>
  <c r="AN19" i="99"/>
  <c r="AN21" i="99"/>
  <c r="AN23" i="99"/>
  <c r="AN25" i="99"/>
  <c r="AN27" i="99"/>
  <c r="AN29" i="99"/>
  <c r="AN31" i="99"/>
  <c r="AN33" i="99"/>
  <c r="AN35" i="99"/>
  <c r="AN37" i="99"/>
  <c r="AN39" i="99"/>
  <c r="AN41" i="99"/>
  <c r="AN43" i="99"/>
  <c r="AN45" i="99"/>
  <c r="AN28" i="99"/>
  <c r="AN42" i="99"/>
  <c r="AN38" i="99"/>
  <c r="AN26" i="99"/>
  <c r="AN44" i="99"/>
  <c r="AN34" i="99"/>
  <c r="AN32" i="99"/>
  <c r="AN40" i="99"/>
  <c r="AN48" i="99"/>
  <c r="AN47" i="99"/>
  <c r="AN49" i="99"/>
  <c r="AN46" i="99"/>
  <c r="AN55" i="99"/>
  <c r="AN50" i="99"/>
  <c r="AN51" i="99"/>
  <c r="AN52" i="99"/>
  <c r="AN30" i="99"/>
  <c r="AN36" i="99"/>
  <c r="AN71" i="99"/>
  <c r="AN59" i="99"/>
  <c r="AN72" i="99"/>
  <c r="AN54" i="99"/>
  <c r="AN56" i="99"/>
  <c r="AN64" i="99"/>
  <c r="AN65" i="99"/>
  <c r="AN66" i="99"/>
  <c r="AN58" i="99"/>
  <c r="AN63" i="99"/>
  <c r="AN67" i="99"/>
  <c r="AN73" i="99"/>
  <c r="AN77" i="99"/>
  <c r="AN79" i="99"/>
  <c r="AN81" i="99"/>
  <c r="AN83" i="99"/>
  <c r="AN85" i="99"/>
  <c r="AN87" i="99"/>
  <c r="AN89" i="99"/>
  <c r="AN91" i="99"/>
  <c r="AN93" i="99"/>
  <c r="AN95" i="99"/>
  <c r="AN97" i="99"/>
  <c r="AN99" i="99"/>
  <c r="AN101" i="99"/>
  <c r="AN103" i="99"/>
  <c r="AN105" i="99"/>
  <c r="AN107" i="99"/>
  <c r="AN109" i="99"/>
  <c r="AN111" i="99"/>
  <c r="AN62" i="99"/>
  <c r="AN68" i="99"/>
  <c r="AN74" i="99"/>
  <c r="AN69" i="99"/>
  <c r="AN61" i="99"/>
  <c r="AN53" i="99"/>
  <c r="AN57" i="99"/>
  <c r="AN70" i="99"/>
  <c r="AN78" i="99"/>
  <c r="AN80" i="99"/>
  <c r="AN82" i="99"/>
  <c r="AN84" i="99"/>
  <c r="AN86" i="99"/>
  <c r="AN88" i="99"/>
  <c r="AN90" i="99"/>
  <c r="AN60" i="99"/>
  <c r="AN94" i="99"/>
  <c r="AN75" i="99"/>
  <c r="AN100" i="99"/>
  <c r="AN106" i="99"/>
  <c r="AN114" i="99"/>
  <c r="AN116" i="99"/>
  <c r="AN112" i="99"/>
  <c r="AN92" i="99"/>
  <c r="AN98" i="99"/>
  <c r="AN104" i="99"/>
  <c r="AN76" i="99"/>
  <c r="AN110" i="99"/>
  <c r="AN14" i="99"/>
  <c r="AN113" i="99"/>
  <c r="AN115" i="99"/>
  <c r="AN96" i="99"/>
  <c r="AN102" i="99"/>
  <c r="AN108" i="99"/>
  <c r="AO13" i="99"/>
  <c r="AO16" i="99" l="1"/>
  <c r="AO18" i="99"/>
  <c r="AO20" i="99"/>
  <c r="AO22" i="99"/>
  <c r="AO24" i="99"/>
  <c r="AO26" i="99"/>
  <c r="AO28" i="99"/>
  <c r="AO30" i="99"/>
  <c r="AO32" i="99"/>
  <c r="AO34" i="99"/>
  <c r="AO36" i="99"/>
  <c r="AO38" i="99"/>
  <c r="AO40" i="99"/>
  <c r="AO42" i="99"/>
  <c r="AO15" i="99"/>
  <c r="AO17" i="99"/>
  <c r="AO19" i="99"/>
  <c r="AO21" i="99"/>
  <c r="AO23" i="99"/>
  <c r="AO33" i="99"/>
  <c r="AO45" i="99"/>
  <c r="AO29" i="99"/>
  <c r="AO39" i="99"/>
  <c r="AO27" i="99"/>
  <c r="AO25" i="99"/>
  <c r="AO35" i="99"/>
  <c r="AO31" i="99"/>
  <c r="AO47" i="99"/>
  <c r="AO49" i="99"/>
  <c r="AO46" i="99"/>
  <c r="AO60" i="99"/>
  <c r="AO65" i="99"/>
  <c r="AO55" i="99"/>
  <c r="AO56" i="99"/>
  <c r="AO51" i="99"/>
  <c r="AO37" i="99"/>
  <c r="AO44" i="99"/>
  <c r="AO57" i="99"/>
  <c r="AO41" i="99"/>
  <c r="AO43" i="99"/>
  <c r="AO48" i="99"/>
  <c r="AO76" i="99"/>
  <c r="AO71" i="99"/>
  <c r="AO59" i="99"/>
  <c r="AO72" i="99"/>
  <c r="AO54" i="99"/>
  <c r="AO64" i="99"/>
  <c r="AO66" i="99"/>
  <c r="AO58" i="99"/>
  <c r="AO63" i="99"/>
  <c r="AO67" i="99"/>
  <c r="AO73" i="99"/>
  <c r="AO77" i="99"/>
  <c r="AO79" i="99"/>
  <c r="AO52" i="99"/>
  <c r="AO62" i="99"/>
  <c r="AO68" i="99"/>
  <c r="AO74" i="99"/>
  <c r="AO69" i="99"/>
  <c r="AO50" i="99"/>
  <c r="AO61" i="99"/>
  <c r="AO53" i="99"/>
  <c r="AO75" i="99"/>
  <c r="AO70" i="99"/>
  <c r="AO86" i="99"/>
  <c r="AO91" i="99"/>
  <c r="AO94" i="99"/>
  <c r="AO97" i="99"/>
  <c r="AO85" i="99"/>
  <c r="AO87" i="99"/>
  <c r="AO100" i="99"/>
  <c r="AO103" i="99"/>
  <c r="AO106" i="99"/>
  <c r="AO109" i="99"/>
  <c r="AO116" i="99"/>
  <c r="AO112" i="99"/>
  <c r="AO114" i="99"/>
  <c r="AO84" i="99"/>
  <c r="AO88" i="99"/>
  <c r="AO83" i="99"/>
  <c r="AO92" i="99"/>
  <c r="AO95" i="99"/>
  <c r="AO98" i="99"/>
  <c r="AO101" i="99"/>
  <c r="AO82" i="99"/>
  <c r="AO89" i="99"/>
  <c r="AO104" i="99"/>
  <c r="AO107" i="99"/>
  <c r="AO110" i="99"/>
  <c r="AO115" i="99"/>
  <c r="AO81" i="99"/>
  <c r="AO14" i="99"/>
  <c r="AO90" i="99"/>
  <c r="AO93" i="99"/>
  <c r="AO113" i="99"/>
  <c r="AO96" i="99"/>
  <c r="AO99" i="99"/>
  <c r="AO80" i="99"/>
  <c r="AO102" i="99"/>
  <c r="AO105" i="99"/>
  <c r="AO78" i="99"/>
  <c r="AO108" i="99"/>
  <c r="AO111" i="99"/>
  <c r="AP13" i="99"/>
  <c r="AP16" i="99" l="1"/>
  <c r="AP18" i="99"/>
  <c r="AP20" i="99"/>
  <c r="AP22" i="99"/>
  <c r="AP15" i="99"/>
  <c r="AP17" i="99"/>
  <c r="AP19" i="99"/>
  <c r="AP21" i="99"/>
  <c r="AP23" i="99"/>
  <c r="AP25" i="99"/>
  <c r="AP27" i="99"/>
  <c r="AP29" i="99"/>
  <c r="AP31" i="99"/>
  <c r="AP33" i="99"/>
  <c r="AP35" i="99"/>
  <c r="AP37" i="99"/>
  <c r="AP39" i="99"/>
  <c r="AP24" i="99"/>
  <c r="AP28" i="99"/>
  <c r="AP42" i="99"/>
  <c r="AP38" i="99"/>
  <c r="AP26" i="99"/>
  <c r="AP49" i="99"/>
  <c r="AP51" i="99"/>
  <c r="AP53" i="99"/>
  <c r="AP55" i="99"/>
  <c r="AP57" i="99"/>
  <c r="AP59" i="99"/>
  <c r="AP61" i="99"/>
  <c r="AP63" i="99"/>
  <c r="AP65" i="99"/>
  <c r="AP67" i="99"/>
  <c r="AP34" i="99"/>
  <c r="AP41" i="99"/>
  <c r="AP32" i="99"/>
  <c r="AP30" i="99"/>
  <c r="AP50" i="99"/>
  <c r="AP52" i="99"/>
  <c r="AP54" i="99"/>
  <c r="AP56" i="99"/>
  <c r="AP58" i="99"/>
  <c r="AP60" i="99"/>
  <c r="AP62" i="99"/>
  <c r="AP64" i="99"/>
  <c r="AP43" i="99"/>
  <c r="AP48" i="99"/>
  <c r="AP47" i="99"/>
  <c r="AP46" i="99"/>
  <c r="AP45" i="99"/>
  <c r="AP44" i="99"/>
  <c r="AP40" i="99"/>
  <c r="AP78" i="99"/>
  <c r="AP76" i="99"/>
  <c r="AP71" i="99"/>
  <c r="AP36" i="99"/>
  <c r="AP72" i="99"/>
  <c r="AP66" i="99"/>
  <c r="AP73" i="99"/>
  <c r="AP77" i="99"/>
  <c r="AP79" i="99"/>
  <c r="AP68" i="99"/>
  <c r="AP74" i="99"/>
  <c r="AP69" i="99"/>
  <c r="AP75" i="99"/>
  <c r="AP86" i="99"/>
  <c r="AP91" i="99"/>
  <c r="AP94" i="99"/>
  <c r="AP97" i="99"/>
  <c r="AP100" i="99"/>
  <c r="AP106" i="99"/>
  <c r="AP109" i="99"/>
  <c r="AP114" i="99"/>
  <c r="AP85" i="99"/>
  <c r="AP87" i="99"/>
  <c r="AP103" i="99"/>
  <c r="AP70" i="99"/>
  <c r="AP84" i="99"/>
  <c r="AP88" i="99"/>
  <c r="AP95" i="99"/>
  <c r="AP14" i="99"/>
  <c r="AP83" i="99"/>
  <c r="AP92" i="99"/>
  <c r="AP98" i="99"/>
  <c r="AP101" i="99"/>
  <c r="AP82" i="99"/>
  <c r="AP89" i="99"/>
  <c r="AP104" i="99"/>
  <c r="AP107" i="99"/>
  <c r="AP110" i="99"/>
  <c r="AP81" i="99"/>
  <c r="AP90" i="99"/>
  <c r="AP93" i="99"/>
  <c r="AP96" i="99"/>
  <c r="AP99" i="99"/>
  <c r="AP80" i="99"/>
  <c r="AP102" i="99"/>
  <c r="AP105" i="99"/>
  <c r="AP108" i="99"/>
  <c r="AP116" i="99"/>
  <c r="AP113" i="99"/>
  <c r="AP111" i="99"/>
  <c r="AP112" i="99"/>
  <c r="AP115" i="99"/>
  <c r="AQ13" i="99"/>
  <c r="AQ16" i="99" l="1"/>
  <c r="AQ18" i="99"/>
  <c r="AQ20" i="99"/>
  <c r="AQ22" i="99"/>
  <c r="AQ24" i="99"/>
  <c r="AQ15" i="99"/>
  <c r="AQ17" i="99"/>
  <c r="AQ19" i="99"/>
  <c r="AQ21" i="99"/>
  <c r="AQ23" i="99"/>
  <c r="AQ40" i="99"/>
  <c r="AQ28" i="99"/>
  <c r="AQ33" i="99"/>
  <c r="AQ26" i="99"/>
  <c r="AQ36" i="99"/>
  <c r="AQ29" i="99"/>
  <c r="AQ34" i="99"/>
  <c r="AQ39" i="99"/>
  <c r="AQ41" i="99"/>
  <c r="AQ27" i="99"/>
  <c r="AQ25" i="99"/>
  <c r="AQ47" i="99"/>
  <c r="AQ43" i="99"/>
  <c r="AQ48" i="99"/>
  <c r="AQ31" i="99"/>
  <c r="AQ49" i="99"/>
  <c r="AQ35" i="99"/>
  <c r="AQ38" i="99"/>
  <c r="AQ46" i="99"/>
  <c r="AQ45" i="99"/>
  <c r="AQ61" i="99"/>
  <c r="AQ32" i="99"/>
  <c r="AQ51" i="99"/>
  <c r="AQ37" i="99"/>
  <c r="AQ62" i="99"/>
  <c r="AQ66" i="99"/>
  <c r="AQ44" i="99"/>
  <c r="AQ30" i="99"/>
  <c r="AQ42" i="99"/>
  <c r="AQ52" i="99"/>
  <c r="AQ60" i="99"/>
  <c r="AQ70" i="99"/>
  <c r="AQ78" i="99"/>
  <c r="AQ76" i="99"/>
  <c r="AQ71" i="99"/>
  <c r="AQ59" i="99"/>
  <c r="AQ56" i="99"/>
  <c r="AQ65" i="99"/>
  <c r="AQ54" i="99"/>
  <c r="AQ64" i="99"/>
  <c r="AQ72" i="99"/>
  <c r="AQ58" i="99"/>
  <c r="AQ63" i="99"/>
  <c r="AQ67" i="99"/>
  <c r="AQ73" i="99"/>
  <c r="AQ77" i="99"/>
  <c r="AQ79" i="99"/>
  <c r="AQ68" i="99"/>
  <c r="AQ74" i="99"/>
  <c r="AQ50" i="99"/>
  <c r="AQ55" i="99"/>
  <c r="AQ57" i="99"/>
  <c r="AQ69" i="99"/>
  <c r="AQ53" i="99"/>
  <c r="AQ108" i="99"/>
  <c r="AQ111" i="99"/>
  <c r="AQ75" i="99"/>
  <c r="AQ86" i="99"/>
  <c r="AQ91" i="99"/>
  <c r="AQ94" i="99"/>
  <c r="AQ97" i="99"/>
  <c r="AQ85" i="99"/>
  <c r="AQ87" i="99"/>
  <c r="AQ100" i="99"/>
  <c r="AQ103" i="99"/>
  <c r="AQ106" i="99"/>
  <c r="AQ109" i="99"/>
  <c r="AQ84" i="99"/>
  <c r="AQ112" i="99"/>
  <c r="AQ88" i="99"/>
  <c r="AQ83" i="99"/>
  <c r="AQ92" i="99"/>
  <c r="AQ95" i="99"/>
  <c r="AQ98" i="99"/>
  <c r="AQ101" i="99"/>
  <c r="AQ104" i="99"/>
  <c r="AQ107" i="99"/>
  <c r="AQ110" i="99"/>
  <c r="AQ82" i="99"/>
  <c r="AQ89" i="99"/>
  <c r="AQ81" i="99"/>
  <c r="AQ90" i="99"/>
  <c r="AQ93" i="99"/>
  <c r="AQ96" i="99"/>
  <c r="AQ99" i="99"/>
  <c r="AQ80" i="99"/>
  <c r="AQ114" i="99"/>
  <c r="AQ102" i="99"/>
  <c r="AQ113" i="99"/>
  <c r="AQ105" i="99"/>
  <c r="AQ14" i="99"/>
  <c r="AQ116" i="99"/>
  <c r="AQ115" i="99"/>
  <c r="AR13" i="99"/>
  <c r="AR16" i="99" l="1"/>
  <c r="AR18" i="99"/>
  <c r="AR20" i="99"/>
  <c r="AR22" i="99"/>
  <c r="AR24" i="99"/>
  <c r="AR15" i="99"/>
  <c r="AR17" i="99"/>
  <c r="AR19" i="99"/>
  <c r="AR21" i="99"/>
  <c r="AR23" i="99"/>
  <c r="AR30" i="99"/>
  <c r="AR35" i="99"/>
  <c r="AR40" i="99"/>
  <c r="AR28" i="99"/>
  <c r="AR33" i="99"/>
  <c r="AR26" i="99"/>
  <c r="AR31" i="99"/>
  <c r="AR36" i="99"/>
  <c r="AR29" i="99"/>
  <c r="AR25" i="99"/>
  <c r="AR43" i="99"/>
  <c r="AR48" i="99"/>
  <c r="AR54" i="99"/>
  <c r="AR47" i="99"/>
  <c r="AR49" i="99"/>
  <c r="AR27" i="99"/>
  <c r="AR38" i="99"/>
  <c r="AR46" i="99"/>
  <c r="AR45" i="99"/>
  <c r="AR50" i="99"/>
  <c r="AR32" i="99"/>
  <c r="AR34" i="99"/>
  <c r="AR51" i="99"/>
  <c r="AR37" i="99"/>
  <c r="AR44" i="99"/>
  <c r="AR57" i="99"/>
  <c r="AR41" i="99"/>
  <c r="AR42" i="99"/>
  <c r="AR39" i="99"/>
  <c r="AR75" i="99"/>
  <c r="AR60" i="99"/>
  <c r="AR70" i="99"/>
  <c r="AR78" i="99"/>
  <c r="AR76" i="99"/>
  <c r="AR71" i="99"/>
  <c r="AR59" i="99"/>
  <c r="AR56" i="99"/>
  <c r="AR65" i="99"/>
  <c r="AR64" i="99"/>
  <c r="AR66" i="99"/>
  <c r="AR72" i="99"/>
  <c r="AR58" i="99"/>
  <c r="AR63" i="99"/>
  <c r="AR67" i="99"/>
  <c r="AR52" i="99"/>
  <c r="AR62" i="99"/>
  <c r="AR73" i="99"/>
  <c r="AR77" i="99"/>
  <c r="AR79" i="99"/>
  <c r="AR68" i="99"/>
  <c r="AR61" i="99"/>
  <c r="AR74" i="99"/>
  <c r="AR55" i="99"/>
  <c r="AR69" i="99"/>
  <c r="AR80" i="99"/>
  <c r="AR102" i="99"/>
  <c r="AR105" i="99"/>
  <c r="AR108" i="99"/>
  <c r="AR111" i="99"/>
  <c r="AR86" i="99"/>
  <c r="AR91" i="99"/>
  <c r="AR94" i="99"/>
  <c r="AR97" i="99"/>
  <c r="AR53" i="99"/>
  <c r="AR85" i="99"/>
  <c r="AR87" i="99"/>
  <c r="AR100" i="99"/>
  <c r="AR103" i="99"/>
  <c r="AR106" i="99"/>
  <c r="AR109" i="99"/>
  <c r="AR114" i="99"/>
  <c r="AR116" i="99"/>
  <c r="AR110" i="99"/>
  <c r="AR84" i="99"/>
  <c r="AR112" i="99"/>
  <c r="AR88" i="99"/>
  <c r="AR83" i="99"/>
  <c r="AR92" i="99"/>
  <c r="AR95" i="99"/>
  <c r="AR107" i="99"/>
  <c r="AR98" i="99"/>
  <c r="AR101" i="99"/>
  <c r="AR82" i="99"/>
  <c r="AR89" i="99"/>
  <c r="AR104" i="99"/>
  <c r="AR81" i="99"/>
  <c r="AR90" i="99"/>
  <c r="AR93" i="99"/>
  <c r="AR113" i="99"/>
  <c r="AR115" i="99"/>
  <c r="AR96" i="99"/>
  <c r="AR14" i="99"/>
  <c r="AR99" i="99"/>
  <c r="AS13" i="99"/>
  <c r="AS16" i="99" l="1"/>
  <c r="AS18" i="99"/>
  <c r="AS20" i="99"/>
  <c r="AS22" i="99"/>
  <c r="AS24" i="99"/>
  <c r="AS15" i="99"/>
  <c r="AS17" i="99"/>
  <c r="AS19" i="99"/>
  <c r="AS21" i="99"/>
  <c r="AS23" i="99"/>
  <c r="AS25" i="99"/>
  <c r="AS30" i="99"/>
  <c r="AS35" i="99"/>
  <c r="AS26" i="99"/>
  <c r="AS31" i="99"/>
  <c r="AS36" i="99"/>
  <c r="AS29" i="99"/>
  <c r="AS34" i="99"/>
  <c r="AS32" i="99"/>
  <c r="AS37" i="99"/>
  <c r="AS43" i="99"/>
  <c r="AS39" i="99"/>
  <c r="AS53" i="99"/>
  <c r="AS33" i="99"/>
  <c r="AS59" i="99"/>
  <c r="AS48" i="99"/>
  <c r="AS54" i="99"/>
  <c r="AS47" i="99"/>
  <c r="AS27" i="99"/>
  <c r="AS38" i="99"/>
  <c r="AS46" i="99"/>
  <c r="AS55" i="99"/>
  <c r="AS45" i="99"/>
  <c r="AS50" i="99"/>
  <c r="AS56" i="99"/>
  <c r="AS44" i="99"/>
  <c r="AS28" i="99"/>
  <c r="AS40" i="99"/>
  <c r="AS41" i="99"/>
  <c r="AS42" i="99"/>
  <c r="AS49" i="99"/>
  <c r="AS75" i="99"/>
  <c r="AS60" i="99"/>
  <c r="AS70" i="99"/>
  <c r="AS78" i="99"/>
  <c r="AS80" i="99"/>
  <c r="AS82" i="99"/>
  <c r="AS84" i="99"/>
  <c r="AS86" i="99"/>
  <c r="AS76" i="99"/>
  <c r="AS71" i="99"/>
  <c r="AS65" i="99"/>
  <c r="AS64" i="99"/>
  <c r="AS66" i="99"/>
  <c r="AS72" i="99"/>
  <c r="AS58" i="99"/>
  <c r="AS63" i="99"/>
  <c r="AS67" i="99"/>
  <c r="AS51" i="99"/>
  <c r="AS52" i="99"/>
  <c r="AS62" i="99"/>
  <c r="AS73" i="99"/>
  <c r="AS77" i="99"/>
  <c r="AS79" i="99"/>
  <c r="AS81" i="99"/>
  <c r="AS83" i="99"/>
  <c r="AS85" i="99"/>
  <c r="AS68" i="99"/>
  <c r="AS57" i="99"/>
  <c r="AS61" i="99"/>
  <c r="AS74" i="99"/>
  <c r="AS96" i="99"/>
  <c r="AS99" i="99"/>
  <c r="AS102" i="99"/>
  <c r="AS105" i="99"/>
  <c r="AS69" i="99"/>
  <c r="AS108" i="99"/>
  <c r="AS111" i="99"/>
  <c r="AS91" i="99"/>
  <c r="AS94" i="99"/>
  <c r="AS97" i="99"/>
  <c r="AS87" i="99"/>
  <c r="AS100" i="99"/>
  <c r="AS103" i="99"/>
  <c r="AS106" i="99"/>
  <c r="AS114" i="99"/>
  <c r="AS116" i="99"/>
  <c r="AS109" i="99"/>
  <c r="AS107" i="99"/>
  <c r="AS112" i="99"/>
  <c r="AS88" i="99"/>
  <c r="AS92" i="99"/>
  <c r="AS95" i="99"/>
  <c r="AS98" i="99"/>
  <c r="AS101" i="99"/>
  <c r="AS89" i="99"/>
  <c r="AS104" i="99"/>
  <c r="AS110" i="99"/>
  <c r="AS14" i="99"/>
  <c r="AS90" i="99"/>
  <c r="AS93" i="99"/>
  <c r="AS113" i="99"/>
  <c r="AS115" i="99"/>
  <c r="AT13" i="99"/>
  <c r="AT16" i="99" l="1"/>
  <c r="AT18" i="99"/>
  <c r="AT20" i="99"/>
  <c r="AT22" i="99"/>
  <c r="AT24" i="99"/>
  <c r="AT26" i="99"/>
  <c r="AT28" i="99"/>
  <c r="AT30" i="99"/>
  <c r="AT32" i="99"/>
  <c r="AT34" i="99"/>
  <c r="AT36" i="99"/>
  <c r="AT38" i="99"/>
  <c r="AT40" i="99"/>
  <c r="AT42" i="99"/>
  <c r="AT44" i="99"/>
  <c r="AT46" i="99"/>
  <c r="AT48" i="99"/>
  <c r="AT15" i="99"/>
  <c r="AT17" i="99"/>
  <c r="AT19" i="99"/>
  <c r="AT21" i="99"/>
  <c r="AT23" i="99"/>
  <c r="AT25" i="99"/>
  <c r="AT27" i="99"/>
  <c r="AT29" i="99"/>
  <c r="AT31" i="99"/>
  <c r="AT33" i="99"/>
  <c r="AT35" i="99"/>
  <c r="AT37" i="99"/>
  <c r="AT39" i="99"/>
  <c r="AT41" i="99"/>
  <c r="AT43" i="99"/>
  <c r="AT45" i="99"/>
  <c r="AT47" i="99"/>
  <c r="AT64" i="99"/>
  <c r="AT60" i="99"/>
  <c r="AT50" i="99"/>
  <c r="AT61" i="99"/>
  <c r="AT68" i="99"/>
  <c r="AT70" i="99"/>
  <c r="AT72" i="99"/>
  <c r="AT74" i="99"/>
  <c r="AT76" i="99"/>
  <c r="AT51" i="99"/>
  <c r="AT53" i="99"/>
  <c r="AT69" i="99"/>
  <c r="AT49" i="99"/>
  <c r="AT75" i="99"/>
  <c r="AT59" i="99"/>
  <c r="AT71" i="99"/>
  <c r="AT54" i="99"/>
  <c r="AT56" i="99"/>
  <c r="AT65" i="99"/>
  <c r="AT66" i="99"/>
  <c r="AT58" i="99"/>
  <c r="AT63" i="99"/>
  <c r="AT67" i="99"/>
  <c r="AT52" i="99"/>
  <c r="AT62" i="99"/>
  <c r="AT73" i="99"/>
  <c r="AT90" i="99"/>
  <c r="AT93" i="99"/>
  <c r="AT113" i="99"/>
  <c r="AT80" i="99"/>
  <c r="AT96" i="99"/>
  <c r="AT99" i="99"/>
  <c r="AT77" i="99"/>
  <c r="AT102" i="99"/>
  <c r="AT105" i="99"/>
  <c r="AT111" i="99"/>
  <c r="AT108" i="99"/>
  <c r="AT86" i="99"/>
  <c r="AT91" i="99"/>
  <c r="AT85" i="99"/>
  <c r="AT94" i="99"/>
  <c r="AT97" i="99"/>
  <c r="AT103" i="99"/>
  <c r="AT114" i="99"/>
  <c r="AT87" i="99"/>
  <c r="AT100" i="99"/>
  <c r="AT116" i="99"/>
  <c r="AT55" i="99"/>
  <c r="AT84" i="99"/>
  <c r="AT106" i="99"/>
  <c r="AT109" i="99"/>
  <c r="AT112" i="99"/>
  <c r="AT83" i="99"/>
  <c r="AT88" i="99"/>
  <c r="AT57" i="99"/>
  <c r="AT79" i="99"/>
  <c r="AT92" i="99"/>
  <c r="AT95" i="99"/>
  <c r="AT82" i="99"/>
  <c r="AT98" i="99"/>
  <c r="AT101" i="99"/>
  <c r="AT89" i="99"/>
  <c r="AT104" i="99"/>
  <c r="AT107" i="99"/>
  <c r="AT81" i="99"/>
  <c r="AT110" i="99"/>
  <c r="AT78" i="99"/>
  <c r="AT115" i="99"/>
  <c r="AT14" i="99"/>
  <c r="AU13" i="99"/>
  <c r="AU15" i="99" l="1"/>
  <c r="AU17" i="99"/>
  <c r="AU19" i="99"/>
  <c r="AU21" i="99"/>
  <c r="AU23" i="99"/>
  <c r="AU25" i="99"/>
  <c r="AU27" i="99"/>
  <c r="AU29" i="99"/>
  <c r="AU31" i="99"/>
  <c r="AU33" i="99"/>
  <c r="AU35" i="99"/>
  <c r="AU37" i="99"/>
  <c r="AU39" i="99"/>
  <c r="AU41" i="99"/>
  <c r="AU43" i="99"/>
  <c r="AU16" i="99"/>
  <c r="AU18" i="99"/>
  <c r="AU20" i="99"/>
  <c r="AU22" i="99"/>
  <c r="AU24" i="99"/>
  <c r="AU26" i="99"/>
  <c r="AU28" i="99"/>
  <c r="AU30" i="99"/>
  <c r="AU32" i="99"/>
  <c r="AU34" i="99"/>
  <c r="AU36" i="99"/>
  <c r="AU38" i="99"/>
  <c r="AU40" i="99"/>
  <c r="AU42" i="99"/>
  <c r="AU46" i="99"/>
  <c r="AU53" i="99"/>
  <c r="AU67" i="99"/>
  <c r="AU69" i="99"/>
  <c r="AU71" i="99"/>
  <c r="AU73" i="99"/>
  <c r="AU75" i="99"/>
  <c r="AU47" i="99"/>
  <c r="AU49" i="99"/>
  <c r="AU45" i="99"/>
  <c r="AU50" i="99"/>
  <c r="AU56" i="99"/>
  <c r="AU44" i="99"/>
  <c r="AU55" i="99"/>
  <c r="AU57" i="99"/>
  <c r="AU60" i="99"/>
  <c r="AU70" i="99"/>
  <c r="AU48" i="99"/>
  <c r="AU59" i="99"/>
  <c r="AU54" i="99"/>
  <c r="AU64" i="99"/>
  <c r="AU65" i="99"/>
  <c r="AU72" i="99"/>
  <c r="AU66" i="99"/>
  <c r="AU51" i="99"/>
  <c r="AU58" i="99"/>
  <c r="AU63" i="99"/>
  <c r="AU52" i="99"/>
  <c r="AU62" i="99"/>
  <c r="AU68" i="99"/>
  <c r="AU78" i="99"/>
  <c r="AU90" i="99"/>
  <c r="AU93" i="99"/>
  <c r="AU113" i="99"/>
  <c r="AU61" i="99"/>
  <c r="AU80" i="99"/>
  <c r="AU96" i="99"/>
  <c r="AU99" i="99"/>
  <c r="AU102" i="99"/>
  <c r="AU105" i="99"/>
  <c r="AU108" i="99"/>
  <c r="AU111" i="99"/>
  <c r="AU77" i="99"/>
  <c r="AU86" i="99"/>
  <c r="AU91" i="99"/>
  <c r="AU97" i="99"/>
  <c r="AU85" i="99"/>
  <c r="AU94" i="99"/>
  <c r="AU87" i="99"/>
  <c r="AU100" i="99"/>
  <c r="AU103" i="99"/>
  <c r="AU76" i="99"/>
  <c r="AU84" i="99"/>
  <c r="AU106" i="99"/>
  <c r="AU109" i="99"/>
  <c r="AU114" i="99"/>
  <c r="AU116" i="99"/>
  <c r="AU112" i="99"/>
  <c r="AU83" i="99"/>
  <c r="AU88" i="99"/>
  <c r="AU79" i="99"/>
  <c r="AU92" i="99"/>
  <c r="AU95" i="99"/>
  <c r="AU74" i="99"/>
  <c r="AU82" i="99"/>
  <c r="AU98" i="99"/>
  <c r="AU101" i="99"/>
  <c r="AU89" i="99"/>
  <c r="AU104" i="99"/>
  <c r="AU107" i="99"/>
  <c r="AU81" i="99"/>
  <c r="AU14" i="99"/>
  <c r="AU110" i="99"/>
  <c r="AU115" i="99"/>
  <c r="AV13" i="99"/>
  <c r="AV15" i="99" l="1"/>
  <c r="AV17" i="99"/>
  <c r="AV19" i="99"/>
  <c r="AV21" i="99"/>
  <c r="AV23" i="99"/>
  <c r="AV16" i="99"/>
  <c r="AV18" i="99"/>
  <c r="AV20" i="99"/>
  <c r="AV22" i="99"/>
  <c r="AV24" i="99"/>
  <c r="AV26" i="99"/>
  <c r="AV28" i="99"/>
  <c r="AV30" i="99"/>
  <c r="AV32" i="99"/>
  <c r="AV34" i="99"/>
  <c r="AV36" i="99"/>
  <c r="AV38" i="99"/>
  <c r="AV40" i="99"/>
  <c r="AV42" i="99"/>
  <c r="AV44" i="99"/>
  <c r="AV25" i="99"/>
  <c r="AV35" i="99"/>
  <c r="AV31" i="99"/>
  <c r="AV29" i="99"/>
  <c r="AV27" i="99"/>
  <c r="AV52" i="99"/>
  <c r="AV39" i="99"/>
  <c r="AV33" i="99"/>
  <c r="AV58" i="99"/>
  <c r="AV43" i="99"/>
  <c r="AV53" i="99"/>
  <c r="AV47" i="99"/>
  <c r="AV54" i="99"/>
  <c r="AV46" i="99"/>
  <c r="AV49" i="99"/>
  <c r="AV45" i="99"/>
  <c r="AV55" i="99"/>
  <c r="AV37" i="99"/>
  <c r="AV61" i="99"/>
  <c r="AV74" i="99"/>
  <c r="AV57" i="99"/>
  <c r="AV69" i="99"/>
  <c r="AV75" i="99"/>
  <c r="AV60" i="99"/>
  <c r="AV70" i="99"/>
  <c r="AV48" i="99"/>
  <c r="AV76" i="99"/>
  <c r="AV78" i="99"/>
  <c r="AV80" i="99"/>
  <c r="AV82" i="99"/>
  <c r="AV84" i="99"/>
  <c r="AV86" i="99"/>
  <c r="AV88" i="99"/>
  <c r="AV90" i="99"/>
  <c r="AV92" i="99"/>
  <c r="AV94" i="99"/>
  <c r="AV96" i="99"/>
  <c r="AV98" i="99"/>
  <c r="AV100" i="99"/>
  <c r="AV102" i="99"/>
  <c r="AV104" i="99"/>
  <c r="AV106" i="99"/>
  <c r="AV108" i="99"/>
  <c r="AV110" i="99"/>
  <c r="AV112" i="99"/>
  <c r="AV71" i="99"/>
  <c r="AV41" i="99"/>
  <c r="AV56" i="99"/>
  <c r="AV59" i="99"/>
  <c r="AV64" i="99"/>
  <c r="AV65" i="99"/>
  <c r="AV72" i="99"/>
  <c r="AV66" i="99"/>
  <c r="AV67" i="99"/>
  <c r="AV51" i="99"/>
  <c r="AV63" i="99"/>
  <c r="AV62" i="99"/>
  <c r="AV73" i="99"/>
  <c r="AV50" i="99"/>
  <c r="AV68" i="99"/>
  <c r="AV77" i="99"/>
  <c r="AV79" i="99"/>
  <c r="AV81" i="99"/>
  <c r="AV83" i="99"/>
  <c r="AV85" i="99"/>
  <c r="AV87" i="99"/>
  <c r="AV89" i="99"/>
  <c r="AV93" i="99"/>
  <c r="AV113" i="99"/>
  <c r="AV115" i="99"/>
  <c r="AV99" i="99"/>
  <c r="AV105" i="99"/>
  <c r="AV91" i="99"/>
  <c r="AV97" i="99"/>
  <c r="AV103" i="99"/>
  <c r="AV109" i="99"/>
  <c r="AV114" i="99"/>
  <c r="AV116" i="99"/>
  <c r="AV95" i="99"/>
  <c r="AV101" i="99"/>
  <c r="AV111" i="99"/>
  <c r="AV14" i="99"/>
  <c r="AV107" i="99"/>
  <c r="AW13" i="99"/>
  <c r="AW15" i="99" l="1"/>
  <c r="AW17" i="99"/>
  <c r="AW19" i="99"/>
  <c r="AW21" i="99"/>
  <c r="AW23" i="99"/>
  <c r="AW25" i="99"/>
  <c r="AW27" i="99"/>
  <c r="AW29" i="99"/>
  <c r="AW31" i="99"/>
  <c r="AW33" i="99"/>
  <c r="AW35" i="99"/>
  <c r="AW37" i="99"/>
  <c r="AW39" i="99"/>
  <c r="AW41" i="99"/>
  <c r="AW16" i="99"/>
  <c r="AW18" i="99"/>
  <c r="AW20" i="99"/>
  <c r="AW22" i="99"/>
  <c r="AW24" i="99"/>
  <c r="AW30" i="99"/>
  <c r="AW38" i="99"/>
  <c r="AW48" i="99"/>
  <c r="AW26" i="99"/>
  <c r="AW36" i="99"/>
  <c r="AW63" i="99"/>
  <c r="AW43" i="99"/>
  <c r="AW59" i="99"/>
  <c r="AW47" i="99"/>
  <c r="AW46" i="99"/>
  <c r="AW49" i="99"/>
  <c r="AW60" i="99"/>
  <c r="AW65" i="99"/>
  <c r="AW32" i="99"/>
  <c r="AW34" i="99"/>
  <c r="AW45" i="99"/>
  <c r="AW50" i="99"/>
  <c r="AW28" i="99"/>
  <c r="AW53" i="99"/>
  <c r="AW55" i="99"/>
  <c r="AW61" i="99"/>
  <c r="AW74" i="99"/>
  <c r="AW57" i="99"/>
  <c r="AW69" i="99"/>
  <c r="AW75" i="99"/>
  <c r="AW70" i="99"/>
  <c r="AW40" i="99"/>
  <c r="AW76" i="99"/>
  <c r="AW78" i="99"/>
  <c r="AW71" i="99"/>
  <c r="AW42" i="99"/>
  <c r="AW54" i="99"/>
  <c r="AW56" i="99"/>
  <c r="AW64" i="99"/>
  <c r="AW72" i="99"/>
  <c r="AW44" i="99"/>
  <c r="AW58" i="99"/>
  <c r="AW66" i="99"/>
  <c r="AW67" i="99"/>
  <c r="AW51" i="99"/>
  <c r="AW52" i="99"/>
  <c r="AW62" i="99"/>
  <c r="AW73" i="99"/>
  <c r="AW68" i="99"/>
  <c r="AW81" i="99"/>
  <c r="AW107" i="99"/>
  <c r="AW110" i="99"/>
  <c r="AW90" i="99"/>
  <c r="AW14" i="99"/>
  <c r="AW96" i="99"/>
  <c r="AW113" i="99"/>
  <c r="AW80" i="99"/>
  <c r="AW93" i="99"/>
  <c r="AW115" i="99"/>
  <c r="AW77" i="99"/>
  <c r="AW99" i="99"/>
  <c r="AW102" i="99"/>
  <c r="AW105" i="99"/>
  <c r="AW108" i="99"/>
  <c r="AW86" i="99"/>
  <c r="AW111" i="99"/>
  <c r="AW85" i="99"/>
  <c r="AW91" i="99"/>
  <c r="AW94" i="99"/>
  <c r="AW87" i="99"/>
  <c r="AW97" i="99"/>
  <c r="AW100" i="99"/>
  <c r="AW106" i="99"/>
  <c r="AW114" i="99"/>
  <c r="AW116" i="99"/>
  <c r="AW84" i="99"/>
  <c r="AW103" i="99"/>
  <c r="AW109" i="99"/>
  <c r="AW112" i="99"/>
  <c r="AW83" i="99"/>
  <c r="AW88" i="99"/>
  <c r="AW79" i="99"/>
  <c r="AW92" i="99"/>
  <c r="AW82" i="99"/>
  <c r="AW95" i="99"/>
  <c r="AW98" i="99"/>
  <c r="AW89" i="99"/>
  <c r="AW101" i="99"/>
  <c r="AW104" i="99"/>
  <c r="AX13" i="99"/>
  <c r="AX15" i="99" l="1"/>
  <c r="AX17" i="99"/>
  <c r="AX19" i="99"/>
  <c r="AX21" i="99"/>
  <c r="AX23" i="99"/>
  <c r="AX16" i="99"/>
  <c r="AX18" i="99"/>
  <c r="AX20" i="99"/>
  <c r="AX22" i="99"/>
  <c r="AX24" i="99"/>
  <c r="AX26" i="99"/>
  <c r="AX28" i="99"/>
  <c r="AX30" i="99"/>
  <c r="AX32" i="99"/>
  <c r="AX34" i="99"/>
  <c r="AX36" i="99"/>
  <c r="AX38" i="99"/>
  <c r="AX37" i="99"/>
  <c r="AX25" i="99"/>
  <c r="AX33" i="99"/>
  <c r="AX42" i="99"/>
  <c r="AX50" i="99"/>
  <c r="AX52" i="99"/>
  <c r="AX54" i="99"/>
  <c r="AX56" i="99"/>
  <c r="AX58" i="99"/>
  <c r="AX60" i="99"/>
  <c r="AX62" i="99"/>
  <c r="AX64" i="99"/>
  <c r="AX66" i="99"/>
  <c r="AX31" i="99"/>
  <c r="AX44" i="99"/>
  <c r="AX45" i="99"/>
  <c r="AX49" i="99"/>
  <c r="AX51" i="99"/>
  <c r="AX53" i="99"/>
  <c r="AX55" i="99"/>
  <c r="AX57" i="99"/>
  <c r="AX59" i="99"/>
  <c r="AX61" i="99"/>
  <c r="AX63" i="99"/>
  <c r="AX39" i="99"/>
  <c r="AX29" i="99"/>
  <c r="AX35" i="99"/>
  <c r="AX43" i="99"/>
  <c r="AX48" i="99"/>
  <c r="AX27" i="99"/>
  <c r="AX47" i="99"/>
  <c r="AX46" i="99"/>
  <c r="AX40" i="99"/>
  <c r="AX41" i="99"/>
  <c r="AX68" i="99"/>
  <c r="AX77" i="99"/>
  <c r="AX79" i="99"/>
  <c r="AX74" i="99"/>
  <c r="AX69" i="99"/>
  <c r="AX70" i="99"/>
  <c r="AX76" i="99"/>
  <c r="AX78" i="99"/>
  <c r="AX80" i="99"/>
  <c r="AX71" i="99"/>
  <c r="AX65" i="99"/>
  <c r="AX72" i="99"/>
  <c r="AX67" i="99"/>
  <c r="AX89" i="99"/>
  <c r="AX101" i="99"/>
  <c r="AX104" i="99"/>
  <c r="AX81" i="99"/>
  <c r="AX107" i="99"/>
  <c r="AX110" i="99"/>
  <c r="AX14" i="99"/>
  <c r="AX75" i="99"/>
  <c r="AX90" i="99"/>
  <c r="AX93" i="99"/>
  <c r="AX96" i="99"/>
  <c r="AX113" i="99"/>
  <c r="AX99" i="99"/>
  <c r="AX102" i="99"/>
  <c r="AX105" i="99"/>
  <c r="AX108" i="99"/>
  <c r="AX111" i="99"/>
  <c r="AX86" i="99"/>
  <c r="AX85" i="99"/>
  <c r="AX91" i="99"/>
  <c r="AX94" i="99"/>
  <c r="AX87" i="99"/>
  <c r="AX97" i="99"/>
  <c r="AX100" i="99"/>
  <c r="AX73" i="99"/>
  <c r="AX84" i="99"/>
  <c r="AX103" i="99"/>
  <c r="AX106" i="99"/>
  <c r="AX109" i="99"/>
  <c r="AX83" i="99"/>
  <c r="AX88" i="99"/>
  <c r="AX92" i="99"/>
  <c r="AX82" i="99"/>
  <c r="AX114" i="99"/>
  <c r="AX95" i="99"/>
  <c r="AX116" i="99"/>
  <c r="AX98" i="99"/>
  <c r="AX115" i="99"/>
  <c r="AX112" i="99"/>
  <c r="AY13" i="99"/>
  <c r="AY15" i="99" l="1"/>
  <c r="AY17" i="99"/>
  <c r="AY19" i="99"/>
  <c r="AY21" i="99"/>
  <c r="AY23" i="99"/>
  <c r="AY16" i="99"/>
  <c r="AY18" i="99"/>
  <c r="AY20" i="99"/>
  <c r="AY22" i="99"/>
  <c r="AY24" i="99"/>
  <c r="AY27" i="99"/>
  <c r="AY32" i="99"/>
  <c r="AY37" i="99"/>
  <c r="AY25" i="99"/>
  <c r="AY30" i="99"/>
  <c r="AY28" i="99"/>
  <c r="AY33" i="99"/>
  <c r="AY38" i="99"/>
  <c r="AY26" i="99"/>
  <c r="AY31" i="99"/>
  <c r="AY39" i="99"/>
  <c r="AY41" i="99"/>
  <c r="AY40" i="99"/>
  <c r="AY52" i="99"/>
  <c r="AY29" i="99"/>
  <c r="AY35" i="99"/>
  <c r="AY43" i="99"/>
  <c r="AY48" i="99"/>
  <c r="AY47" i="99"/>
  <c r="AY49" i="99"/>
  <c r="AY46" i="99"/>
  <c r="AY34" i="99"/>
  <c r="AY45" i="99"/>
  <c r="AY55" i="99"/>
  <c r="AY36" i="99"/>
  <c r="AY42" i="99"/>
  <c r="AY44" i="99"/>
  <c r="AY51" i="99"/>
  <c r="AY73" i="99"/>
  <c r="AY68" i="99"/>
  <c r="AY77" i="99"/>
  <c r="AY53" i="99"/>
  <c r="AY61" i="99"/>
  <c r="AY57" i="99"/>
  <c r="AY74" i="99"/>
  <c r="AY69" i="99"/>
  <c r="AY60" i="99"/>
  <c r="AY75" i="99"/>
  <c r="AY70" i="99"/>
  <c r="AY59" i="99"/>
  <c r="AY76" i="99"/>
  <c r="AY78" i="99"/>
  <c r="AY54" i="99"/>
  <c r="AY56" i="99"/>
  <c r="AY71" i="99"/>
  <c r="AY64" i="99"/>
  <c r="AY65" i="99"/>
  <c r="AY58" i="99"/>
  <c r="AY63" i="99"/>
  <c r="AY66" i="99"/>
  <c r="AY72" i="99"/>
  <c r="AY67" i="99"/>
  <c r="AY82" i="99"/>
  <c r="AY95" i="99"/>
  <c r="AY98" i="99"/>
  <c r="AY89" i="99"/>
  <c r="AY101" i="99"/>
  <c r="AY104" i="99"/>
  <c r="AY50" i="99"/>
  <c r="AY81" i="99"/>
  <c r="AY107" i="99"/>
  <c r="AY110" i="99"/>
  <c r="AY62" i="99"/>
  <c r="AY80" i="99"/>
  <c r="AY90" i="99"/>
  <c r="AY93" i="99"/>
  <c r="AY96" i="99"/>
  <c r="AY99" i="99"/>
  <c r="AY102" i="99"/>
  <c r="AY108" i="99"/>
  <c r="AY111" i="99"/>
  <c r="AY105" i="99"/>
  <c r="AY86" i="99"/>
  <c r="AY85" i="99"/>
  <c r="AY91" i="99"/>
  <c r="AY94" i="99"/>
  <c r="AY87" i="99"/>
  <c r="AY97" i="99"/>
  <c r="AY100" i="99"/>
  <c r="AY84" i="99"/>
  <c r="AY103" i="99"/>
  <c r="AY106" i="99"/>
  <c r="AY109" i="99"/>
  <c r="AY112" i="99"/>
  <c r="AY79" i="99"/>
  <c r="AY83" i="99"/>
  <c r="AY88" i="99"/>
  <c r="AY92" i="99"/>
  <c r="AY115" i="99"/>
  <c r="AY116" i="99"/>
  <c r="AY113" i="99"/>
  <c r="AY114" i="99"/>
  <c r="AY14" i="99"/>
  <c r="AZ13" i="99"/>
  <c r="AZ15" i="99" l="1"/>
  <c r="AZ17" i="99"/>
  <c r="AZ19" i="99"/>
  <c r="AZ21" i="99"/>
  <c r="AZ23" i="99"/>
  <c r="AZ16" i="99"/>
  <c r="AZ18" i="99"/>
  <c r="AZ20" i="99"/>
  <c r="AZ22" i="99"/>
  <c r="AZ24" i="99"/>
  <c r="AZ27" i="99"/>
  <c r="AZ32" i="99"/>
  <c r="AZ37" i="99"/>
  <c r="AZ25" i="99"/>
  <c r="AZ40" i="99"/>
  <c r="AZ47" i="99"/>
  <c r="AZ28" i="99"/>
  <c r="AZ33" i="99"/>
  <c r="AZ38" i="99"/>
  <c r="AZ42" i="99"/>
  <c r="AZ26" i="99"/>
  <c r="AZ31" i="99"/>
  <c r="AZ29" i="99"/>
  <c r="AZ34" i="99"/>
  <c r="AZ36" i="99"/>
  <c r="AZ41" i="99"/>
  <c r="AZ44" i="99"/>
  <c r="AZ51" i="99"/>
  <c r="AZ57" i="99"/>
  <c r="AZ39" i="99"/>
  <c r="AZ52" i="99"/>
  <c r="AZ35" i="99"/>
  <c r="AZ53" i="99"/>
  <c r="AZ43" i="99"/>
  <c r="AZ48" i="99"/>
  <c r="AZ54" i="99"/>
  <c r="AZ46" i="99"/>
  <c r="AZ30" i="99"/>
  <c r="AZ45" i="99"/>
  <c r="AZ50" i="99"/>
  <c r="AZ62" i="99"/>
  <c r="AZ73" i="99"/>
  <c r="AZ49" i="99"/>
  <c r="AZ55" i="99"/>
  <c r="AZ68" i="99"/>
  <c r="AZ77" i="99"/>
  <c r="AZ79" i="99"/>
  <c r="AZ61" i="99"/>
  <c r="AZ74" i="99"/>
  <c r="AZ69" i="99"/>
  <c r="AZ60" i="99"/>
  <c r="AZ75" i="99"/>
  <c r="AZ70" i="99"/>
  <c r="AZ59" i="99"/>
  <c r="AZ76" i="99"/>
  <c r="AZ78" i="99"/>
  <c r="AZ56" i="99"/>
  <c r="AZ71" i="99"/>
  <c r="AZ64" i="99"/>
  <c r="AZ65" i="99"/>
  <c r="AZ58" i="99"/>
  <c r="AZ63" i="99"/>
  <c r="AZ66" i="99"/>
  <c r="AZ72" i="99"/>
  <c r="AZ92" i="99"/>
  <c r="AZ82" i="99"/>
  <c r="AZ95" i="99"/>
  <c r="AZ98" i="99"/>
  <c r="AZ89" i="99"/>
  <c r="AZ101" i="99"/>
  <c r="AZ104" i="99"/>
  <c r="AZ107" i="99"/>
  <c r="AZ110" i="99"/>
  <c r="AZ81" i="99"/>
  <c r="AZ80" i="99"/>
  <c r="AZ90" i="99"/>
  <c r="AZ93" i="99"/>
  <c r="AZ96" i="99"/>
  <c r="AZ113" i="99"/>
  <c r="AZ115" i="99"/>
  <c r="AZ99" i="99"/>
  <c r="AZ102" i="99"/>
  <c r="AZ105" i="99"/>
  <c r="AZ108" i="99"/>
  <c r="AZ86" i="99"/>
  <c r="AZ111" i="99"/>
  <c r="AZ85" i="99"/>
  <c r="AZ91" i="99"/>
  <c r="AZ94" i="99"/>
  <c r="AZ87" i="99"/>
  <c r="AZ97" i="99"/>
  <c r="AZ100" i="99"/>
  <c r="AZ84" i="99"/>
  <c r="AZ103" i="99"/>
  <c r="AZ106" i="99"/>
  <c r="AZ67" i="99"/>
  <c r="AZ109" i="99"/>
  <c r="AZ112" i="99"/>
  <c r="AZ114" i="99"/>
  <c r="AZ116" i="99"/>
  <c r="AZ83" i="99"/>
  <c r="AZ88" i="99"/>
  <c r="AZ14" i="99"/>
  <c r="BA13" i="99"/>
  <c r="BA15" i="99" l="1"/>
  <c r="BA17" i="99"/>
  <c r="BA19" i="99"/>
  <c r="BA21" i="99"/>
  <c r="BA23" i="99"/>
  <c r="BA16" i="99"/>
  <c r="BA18" i="99"/>
  <c r="BA20" i="99"/>
  <c r="BA22" i="99"/>
  <c r="BA24" i="99"/>
  <c r="BA39" i="99"/>
  <c r="BA41" i="99"/>
  <c r="BA27" i="99"/>
  <c r="BA32" i="99"/>
  <c r="BA25" i="99"/>
  <c r="BA35" i="99"/>
  <c r="BA28" i="99"/>
  <c r="BA33" i="99"/>
  <c r="BA38" i="99"/>
  <c r="BA26" i="99"/>
  <c r="BA42" i="99"/>
  <c r="BA36" i="99"/>
  <c r="BA40" i="99"/>
  <c r="BA44" i="99"/>
  <c r="BA51" i="99"/>
  <c r="BA62" i="99"/>
  <c r="BA66" i="99"/>
  <c r="BA31" i="99"/>
  <c r="BA57" i="99"/>
  <c r="BA29" i="99"/>
  <c r="BA58" i="99"/>
  <c r="BA43" i="99"/>
  <c r="BA48" i="99"/>
  <c r="BA59" i="99"/>
  <c r="BA47" i="99"/>
  <c r="BA49" i="99"/>
  <c r="BA34" i="99"/>
  <c r="BA37" i="99"/>
  <c r="BA46" i="99"/>
  <c r="BA30" i="99"/>
  <c r="BA45" i="99"/>
  <c r="BA67" i="99"/>
  <c r="BA50" i="99"/>
  <c r="BA73" i="99"/>
  <c r="BA53" i="99"/>
  <c r="BA55" i="99"/>
  <c r="BA68" i="99"/>
  <c r="BA77" i="99"/>
  <c r="BA79" i="99"/>
  <c r="BA81" i="99"/>
  <c r="BA83" i="99"/>
  <c r="BA85" i="99"/>
  <c r="BA61" i="99"/>
  <c r="BA69" i="99"/>
  <c r="BA60" i="99"/>
  <c r="BA75" i="99"/>
  <c r="BA70" i="99"/>
  <c r="BA54" i="99"/>
  <c r="BA76" i="99"/>
  <c r="BA78" i="99"/>
  <c r="BA80" i="99"/>
  <c r="BA82" i="99"/>
  <c r="BA84" i="99"/>
  <c r="BA56" i="99"/>
  <c r="BA71" i="99"/>
  <c r="BA52" i="99"/>
  <c r="BA64" i="99"/>
  <c r="BA65" i="99"/>
  <c r="BA88" i="99"/>
  <c r="BA92" i="99"/>
  <c r="BA95" i="99"/>
  <c r="BA98" i="99"/>
  <c r="BA101" i="99"/>
  <c r="BA110" i="99"/>
  <c r="BA89" i="99"/>
  <c r="BA104" i="99"/>
  <c r="BA107" i="99"/>
  <c r="BA63" i="99"/>
  <c r="BA90" i="99"/>
  <c r="BA14" i="99"/>
  <c r="BA96" i="99"/>
  <c r="BA115" i="99"/>
  <c r="BA93" i="99"/>
  <c r="BA113" i="99"/>
  <c r="BA99" i="99"/>
  <c r="BA102" i="99"/>
  <c r="BA72" i="99"/>
  <c r="BA105" i="99"/>
  <c r="BA108" i="99"/>
  <c r="BA111" i="99"/>
  <c r="BA86" i="99"/>
  <c r="BA91" i="99"/>
  <c r="BA94" i="99"/>
  <c r="BA87" i="99"/>
  <c r="BA97" i="99"/>
  <c r="BA100" i="99"/>
  <c r="BA74" i="99"/>
  <c r="BA103" i="99"/>
  <c r="BA106" i="99"/>
  <c r="BA109" i="99"/>
  <c r="BA114" i="99"/>
  <c r="BA116" i="99"/>
  <c r="BA112" i="99"/>
  <c r="BB13" i="99"/>
  <c r="BB15" i="99" l="1"/>
  <c r="BB17" i="99"/>
  <c r="J17" i="99" s="1"/>
  <c r="K17" i="99" s="1"/>
  <c r="BB19" i="99"/>
  <c r="BB21" i="99"/>
  <c r="J21" i="99" s="1"/>
  <c r="K21" i="99" s="1"/>
  <c r="BB23" i="99"/>
  <c r="J23" i="99" s="1"/>
  <c r="K23" i="99" s="1"/>
  <c r="BB25" i="99"/>
  <c r="BB27" i="99"/>
  <c r="BB29" i="99"/>
  <c r="BB31" i="99"/>
  <c r="BB33" i="99"/>
  <c r="J33" i="99" s="1"/>
  <c r="K33" i="99" s="1"/>
  <c r="BB35" i="99"/>
  <c r="J35" i="99" s="1"/>
  <c r="K35" i="99" s="1"/>
  <c r="BB37" i="99"/>
  <c r="J37" i="99" s="1"/>
  <c r="K37" i="99" s="1"/>
  <c r="BB39" i="99"/>
  <c r="J39" i="99" s="1"/>
  <c r="K39" i="99" s="1"/>
  <c r="BB41" i="99"/>
  <c r="J41" i="99" s="1"/>
  <c r="K41" i="99" s="1"/>
  <c r="BB43" i="99"/>
  <c r="J43" i="99" s="1"/>
  <c r="K43" i="99" s="1"/>
  <c r="BB45" i="99"/>
  <c r="J45" i="99" s="1"/>
  <c r="K45" i="99" s="1"/>
  <c r="BB47" i="99"/>
  <c r="BB16" i="99"/>
  <c r="J16" i="99" s="1"/>
  <c r="K16" i="99" s="1"/>
  <c r="BB18" i="99"/>
  <c r="BB20" i="99"/>
  <c r="J20" i="99" s="1"/>
  <c r="K20" i="99" s="1"/>
  <c r="BB22" i="99"/>
  <c r="J22" i="99" s="1"/>
  <c r="K22" i="99" s="1"/>
  <c r="BB24" i="99"/>
  <c r="J24" i="99" s="1"/>
  <c r="K24" i="99" s="1"/>
  <c r="BB26" i="99"/>
  <c r="J26" i="99" s="1"/>
  <c r="K26" i="99" s="1"/>
  <c r="BB28" i="99"/>
  <c r="J28" i="99" s="1"/>
  <c r="K28" i="99" s="1"/>
  <c r="BB30" i="99"/>
  <c r="J30" i="99" s="1"/>
  <c r="K30" i="99" s="1"/>
  <c r="BB32" i="99"/>
  <c r="J32" i="99" s="1"/>
  <c r="K32" i="99" s="1"/>
  <c r="BB34" i="99"/>
  <c r="J34" i="99" s="1"/>
  <c r="K34" i="99" s="1"/>
  <c r="BB36" i="99"/>
  <c r="J36" i="99" s="1"/>
  <c r="K36" i="99" s="1"/>
  <c r="BB38" i="99"/>
  <c r="J38" i="99" s="1"/>
  <c r="K38" i="99" s="1"/>
  <c r="BB40" i="99"/>
  <c r="J40" i="99" s="1"/>
  <c r="K40" i="99" s="1"/>
  <c r="BB42" i="99"/>
  <c r="J42" i="99" s="1"/>
  <c r="K42" i="99" s="1"/>
  <c r="BB44" i="99"/>
  <c r="J44" i="99" s="1"/>
  <c r="K44" i="99" s="1"/>
  <c r="BB46" i="99"/>
  <c r="BB48" i="99"/>
  <c r="BB51" i="99"/>
  <c r="BB64" i="99"/>
  <c r="J64" i="99" s="1"/>
  <c r="K64" i="99" s="1"/>
  <c r="BB67" i="99"/>
  <c r="J67" i="99" s="1"/>
  <c r="K67" i="99" s="1"/>
  <c r="BB69" i="99"/>
  <c r="J69" i="99" s="1"/>
  <c r="K69" i="99" s="1"/>
  <c r="BB71" i="99"/>
  <c r="J71" i="99" s="1"/>
  <c r="K71" i="99" s="1"/>
  <c r="BB73" i="99"/>
  <c r="J73" i="99" s="1"/>
  <c r="K73" i="99" s="1"/>
  <c r="BB75" i="99"/>
  <c r="J75" i="99" s="1"/>
  <c r="K75" i="99" s="1"/>
  <c r="BB54" i="99"/>
  <c r="J54" i="99" s="1"/>
  <c r="K54" i="99" s="1"/>
  <c r="BB50" i="99"/>
  <c r="J50" i="99" s="1"/>
  <c r="K50" i="99" s="1"/>
  <c r="BB63" i="99"/>
  <c r="BB72" i="99"/>
  <c r="J72" i="99" s="1"/>
  <c r="K72" i="99" s="1"/>
  <c r="BB62" i="99"/>
  <c r="J62" i="99" s="1"/>
  <c r="K62" i="99" s="1"/>
  <c r="BB49" i="99"/>
  <c r="J49" i="99" s="1"/>
  <c r="K49" i="99" s="1"/>
  <c r="BB53" i="99"/>
  <c r="J53" i="99" s="1"/>
  <c r="K53" i="99" s="1"/>
  <c r="BB55" i="99"/>
  <c r="J55" i="99" s="1"/>
  <c r="K55" i="99" s="1"/>
  <c r="BB57" i="99"/>
  <c r="J57" i="99" s="1"/>
  <c r="K57" i="99" s="1"/>
  <c r="BB68" i="99"/>
  <c r="J68" i="99" s="1"/>
  <c r="K68" i="99" s="1"/>
  <c r="BB61" i="99"/>
  <c r="J61" i="99" s="1"/>
  <c r="K61" i="99" s="1"/>
  <c r="BB74" i="99"/>
  <c r="J74" i="99" s="1"/>
  <c r="K74" i="99" s="1"/>
  <c r="BB60" i="99"/>
  <c r="J60" i="99" s="1"/>
  <c r="K60" i="99" s="1"/>
  <c r="BB70" i="99"/>
  <c r="J70" i="99" s="1"/>
  <c r="K70" i="99" s="1"/>
  <c r="BB59" i="99"/>
  <c r="J59" i="99" s="1"/>
  <c r="K59" i="99" s="1"/>
  <c r="BB56" i="99"/>
  <c r="J56" i="99" s="1"/>
  <c r="K56" i="99" s="1"/>
  <c r="BB83" i="99"/>
  <c r="BB109" i="99"/>
  <c r="J109" i="99" s="1"/>
  <c r="K109" i="99" s="1"/>
  <c r="BB112" i="99"/>
  <c r="J112" i="99" s="1"/>
  <c r="K112" i="99" s="1"/>
  <c r="BB114" i="99"/>
  <c r="J114" i="99" s="1"/>
  <c r="K114" i="99" s="1"/>
  <c r="BB78" i="99"/>
  <c r="J78" i="99" s="1"/>
  <c r="K78" i="99" s="1"/>
  <c r="BB88" i="99"/>
  <c r="J88" i="99" s="1"/>
  <c r="K88" i="99" s="1"/>
  <c r="BB82" i="99"/>
  <c r="J82" i="99" s="1"/>
  <c r="K82" i="99" s="1"/>
  <c r="BB92" i="99"/>
  <c r="BB95" i="99"/>
  <c r="J95" i="99" s="1"/>
  <c r="K95" i="99" s="1"/>
  <c r="BB98" i="99"/>
  <c r="BB52" i="99"/>
  <c r="J52" i="99" s="1"/>
  <c r="K52" i="99" s="1"/>
  <c r="BB81" i="99"/>
  <c r="J81" i="99" s="1"/>
  <c r="K81" i="99" s="1"/>
  <c r="BB89" i="99"/>
  <c r="J89" i="99" s="1"/>
  <c r="K89" i="99" s="1"/>
  <c r="BB101" i="99"/>
  <c r="J101" i="99" s="1"/>
  <c r="K101" i="99" s="1"/>
  <c r="BB104" i="99"/>
  <c r="J104" i="99" s="1"/>
  <c r="K104" i="99" s="1"/>
  <c r="BB77" i="99"/>
  <c r="J77" i="99" s="1"/>
  <c r="K77" i="99" s="1"/>
  <c r="BB107" i="99"/>
  <c r="J107" i="99" s="1"/>
  <c r="K107" i="99" s="1"/>
  <c r="BB110" i="99"/>
  <c r="J110" i="99" s="1"/>
  <c r="K110" i="99" s="1"/>
  <c r="BB80" i="99"/>
  <c r="J80" i="99" s="1"/>
  <c r="K80" i="99" s="1"/>
  <c r="BB14" i="99"/>
  <c r="J14" i="99" s="1"/>
  <c r="K14" i="99" s="1"/>
  <c r="BB115" i="99"/>
  <c r="J115" i="99" s="1"/>
  <c r="K115" i="99" s="1"/>
  <c r="BB90" i="99"/>
  <c r="J90" i="99" s="1"/>
  <c r="K90" i="99" s="1"/>
  <c r="BB93" i="99"/>
  <c r="J93" i="99" s="1"/>
  <c r="K93" i="99" s="1"/>
  <c r="BB96" i="99"/>
  <c r="J96" i="99" s="1"/>
  <c r="K96" i="99" s="1"/>
  <c r="BB113" i="99"/>
  <c r="J113" i="99" s="1"/>
  <c r="K113" i="99" s="1"/>
  <c r="BB99" i="99"/>
  <c r="J99" i="99" s="1"/>
  <c r="K99" i="99" s="1"/>
  <c r="BB102" i="99"/>
  <c r="J102" i="99" s="1"/>
  <c r="K102" i="99" s="1"/>
  <c r="BB65" i="99"/>
  <c r="J65" i="99" s="1"/>
  <c r="K65" i="99" s="1"/>
  <c r="BB76" i="99"/>
  <c r="J76" i="99" s="1"/>
  <c r="K76" i="99" s="1"/>
  <c r="BB105" i="99"/>
  <c r="J105" i="99" s="1"/>
  <c r="K105" i="99" s="1"/>
  <c r="BB108" i="99"/>
  <c r="J108" i="99" s="1"/>
  <c r="K108" i="99" s="1"/>
  <c r="BB86" i="99"/>
  <c r="J86" i="99" s="1"/>
  <c r="K86" i="99" s="1"/>
  <c r="BB111" i="99"/>
  <c r="J111" i="99" s="1"/>
  <c r="K111" i="99" s="1"/>
  <c r="BB66" i="99"/>
  <c r="J66" i="99" s="1"/>
  <c r="K66" i="99" s="1"/>
  <c r="BB85" i="99"/>
  <c r="J85" i="99" s="1"/>
  <c r="K85" i="99" s="1"/>
  <c r="BB58" i="99"/>
  <c r="J58" i="99" s="1"/>
  <c r="K58" i="99" s="1"/>
  <c r="BB91" i="99"/>
  <c r="J91" i="99" s="1"/>
  <c r="K91" i="99" s="1"/>
  <c r="BB94" i="99"/>
  <c r="J94" i="99" s="1"/>
  <c r="K94" i="99" s="1"/>
  <c r="BB84" i="99"/>
  <c r="J84" i="99" s="1"/>
  <c r="K84" i="99" s="1"/>
  <c r="BB87" i="99"/>
  <c r="J87" i="99" s="1"/>
  <c r="K87" i="99" s="1"/>
  <c r="BB97" i="99"/>
  <c r="J97" i="99" s="1"/>
  <c r="K97" i="99" s="1"/>
  <c r="BB100" i="99"/>
  <c r="J100" i="99" s="1"/>
  <c r="K100" i="99" s="1"/>
  <c r="BB79" i="99"/>
  <c r="J79" i="99" s="1"/>
  <c r="K79" i="99" s="1"/>
  <c r="BB103" i="99"/>
  <c r="J103" i="99" s="1"/>
  <c r="K103" i="99" s="1"/>
  <c r="BB106" i="99"/>
  <c r="J106" i="99" s="1"/>
  <c r="K106" i="99" s="1"/>
  <c r="BB116" i="99"/>
  <c r="J116" i="99" s="1"/>
  <c r="K116" i="99" s="1"/>
  <c r="J15" i="99"/>
  <c r="K15" i="99" s="1"/>
  <c r="J25" i="99"/>
  <c r="K25" i="99" s="1"/>
  <c r="J27" i="99"/>
  <c r="K27" i="99" s="1"/>
  <c r="J29" i="99"/>
  <c r="K29" i="99" s="1"/>
  <c r="J31" i="99"/>
  <c r="K31" i="99" s="1"/>
  <c r="J47" i="99"/>
  <c r="K47" i="99" s="1"/>
  <c r="J46" i="99"/>
  <c r="K46" i="99" s="1"/>
  <c r="J48" i="99"/>
  <c r="K48" i="99" s="1"/>
  <c r="J51" i="99"/>
  <c r="K51" i="99" s="1"/>
  <c r="J92" i="99"/>
  <c r="K92" i="99" s="1"/>
  <c r="J19" i="99"/>
  <c r="K19" i="99" s="1"/>
  <c r="J18" i="99"/>
  <c r="K18" i="99" s="1"/>
  <c r="K63" i="99" l="1"/>
  <c r="K6" i="99" s="1"/>
  <c r="J63" i="99"/>
  <c r="J6" i="99" s="1"/>
  <c r="K13" i="99"/>
  <c r="K5" i="99" s="1"/>
  <c r="J13" i="99"/>
  <c r="J5" i="99" s="1"/>
  <c r="K83" i="99"/>
  <c r="K7" i="99" s="1"/>
  <c r="J83" i="99"/>
  <c r="J7" i="99" s="1"/>
  <c r="K98" i="99"/>
  <c r="K8" i="99" s="1"/>
  <c r="J98" i="99"/>
  <c r="J8" i="99" s="1"/>
  <c r="A2" i="98" l="1"/>
  <c r="H2" i="98"/>
  <c r="I50" i="98"/>
  <c r="I43" i="98"/>
  <c r="C5" i="93" l="1"/>
  <c r="D5" i="93"/>
  <c r="E61" i="87" l="1"/>
  <c r="E30" i="87"/>
  <c r="E15" i="87" l="1"/>
  <c r="E7" i="87"/>
  <c r="E10" i="87"/>
  <c r="E8" i="87"/>
  <c r="E6" i="87"/>
  <c r="E24" i="79"/>
  <c r="E46" i="87" l="1"/>
  <c r="D21" i="84" l="1"/>
  <c r="E21" i="84"/>
  <c r="D24" i="84"/>
  <c r="E24" i="84"/>
  <c r="D27" i="84"/>
  <c r="E27" i="84"/>
  <c r="D31" i="84"/>
  <c r="E31" i="84"/>
  <c r="G67" i="37" l="1"/>
  <c r="F67" i="37" s="1"/>
  <c r="G68" i="37"/>
  <c r="F68" i="37" s="1"/>
  <c r="G69" i="37"/>
  <c r="F69" i="37" s="1"/>
  <c r="G70" i="37"/>
  <c r="F70" i="37" s="1"/>
  <c r="G71" i="37"/>
  <c r="F71" i="37" s="1"/>
  <c r="G72" i="37"/>
  <c r="F72" i="37" s="1"/>
  <c r="G73" i="37"/>
  <c r="F73" i="37" s="1"/>
  <c r="G66" i="37"/>
  <c r="L3" i="92" l="1"/>
  <c r="L2" i="92"/>
  <c r="L10" i="92" s="1"/>
  <c r="A2" i="92"/>
  <c r="G1" i="85"/>
  <c r="D25" i="91"/>
  <c r="C2" i="91"/>
  <c r="B2" i="91"/>
  <c r="B3" i="84"/>
  <c r="K3" i="85" l="1"/>
  <c r="K33" i="85" s="1"/>
  <c r="M3" i="85"/>
  <c r="M33" i="85" s="1"/>
  <c r="I3" i="85"/>
  <c r="I33" i="85" s="1"/>
  <c r="H3" i="85"/>
  <c r="H33" i="85" s="1"/>
  <c r="F2" i="83"/>
  <c r="F69" i="83" s="1"/>
  <c r="B2" i="83"/>
  <c r="E14" i="87" l="1"/>
  <c r="F52" i="83"/>
  <c r="C15" i="84" s="1"/>
  <c r="F7" i="83"/>
  <c r="G7" i="83" s="1"/>
  <c r="D15" i="84" l="1"/>
  <c r="E15" i="84"/>
  <c r="F72" i="83"/>
  <c r="C14" i="84" s="1"/>
  <c r="B13" i="93"/>
  <c r="E13" i="87"/>
  <c r="C13" i="84" l="1"/>
  <c r="D13" i="84" s="1"/>
  <c r="D14" i="84"/>
  <c r="E14" i="84"/>
  <c r="C13" i="93"/>
  <c r="D13" i="93"/>
  <c r="C16" i="84"/>
  <c r="C17" i="84"/>
  <c r="E13" i="84" l="1"/>
  <c r="D16" i="84"/>
  <c r="E16" i="84"/>
  <c r="D17" i="84"/>
  <c r="E17" i="84"/>
  <c r="C18" i="84"/>
  <c r="B14" i="93" s="1"/>
  <c r="D18" i="84" l="1"/>
  <c r="C14" i="93" s="1"/>
  <c r="E18" i="84"/>
  <c r="D14" i="93" s="1"/>
  <c r="I2" i="52" l="1"/>
  <c r="G4" i="38"/>
  <c r="AB328" i="37" l="1"/>
  <c r="AA328" i="37"/>
  <c r="Z328" i="37"/>
  <c r="AB321" i="37"/>
  <c r="AB329" i="37" s="1"/>
  <c r="AA321" i="37"/>
  <c r="AA329" i="37" s="1"/>
  <c r="Z321" i="37"/>
  <c r="Z329" i="37" s="1"/>
  <c r="Q328" i="37"/>
  <c r="P328" i="37"/>
  <c r="O328" i="37"/>
  <c r="Q321" i="37"/>
  <c r="P321" i="37"/>
  <c r="O321" i="37"/>
  <c r="E328" i="37"/>
  <c r="F328" i="37"/>
  <c r="D328" i="37"/>
  <c r="E321" i="37"/>
  <c r="F321" i="37"/>
  <c r="D321" i="37"/>
  <c r="D329" i="37" s="1"/>
  <c r="AD234" i="37"/>
  <c r="AC234" i="37"/>
  <c r="AB234" i="37"/>
  <c r="AA234" i="37"/>
  <c r="AD228" i="37"/>
  <c r="AC228" i="37"/>
  <c r="AC235" i="37" s="1"/>
  <c r="AB228" i="37"/>
  <c r="AA228" i="37"/>
  <c r="AD222" i="37"/>
  <c r="AC222" i="37"/>
  <c r="AB222" i="37"/>
  <c r="AA222" i="37"/>
  <c r="S234" i="37"/>
  <c r="R234" i="37"/>
  <c r="Q234" i="37"/>
  <c r="P234" i="37"/>
  <c r="S228" i="37"/>
  <c r="S235" i="37" s="1"/>
  <c r="I31" i="38" s="1"/>
  <c r="R228" i="37"/>
  <c r="R235" i="37" s="1"/>
  <c r="H31" i="38" s="1"/>
  <c r="Q228" i="37"/>
  <c r="P228" i="37"/>
  <c r="S222" i="37"/>
  <c r="I30" i="38" s="1"/>
  <c r="R222" i="37"/>
  <c r="H30" i="38" s="1"/>
  <c r="Q222" i="37"/>
  <c r="I22" i="38" s="1"/>
  <c r="P222" i="37"/>
  <c r="H22" i="38" s="1"/>
  <c r="H234" i="37"/>
  <c r="G234" i="37"/>
  <c r="F234" i="37"/>
  <c r="H228" i="37"/>
  <c r="G228" i="37"/>
  <c r="F228" i="37"/>
  <c r="E234" i="37"/>
  <c r="E228" i="37"/>
  <c r="P235" i="37" l="1"/>
  <c r="H23" i="38" s="1"/>
  <c r="I34" i="52" s="1"/>
  <c r="Q235" i="37"/>
  <c r="I23" i="38" s="1"/>
  <c r="H34" i="52" s="1"/>
  <c r="O329" i="37"/>
  <c r="I46" i="38" s="1"/>
  <c r="J20" i="98" s="1"/>
  <c r="H235" i="37"/>
  <c r="G31" i="38" s="1"/>
  <c r="AD235" i="37"/>
  <c r="F329" i="37"/>
  <c r="F235" i="37"/>
  <c r="G23" i="38" s="1"/>
  <c r="E329" i="37"/>
  <c r="AA235" i="37"/>
  <c r="P329" i="37"/>
  <c r="H51" i="38" s="1"/>
  <c r="AB235" i="37"/>
  <c r="Q329" i="37"/>
  <c r="E235" i="37"/>
  <c r="F23" i="38" s="1"/>
  <c r="G235" i="37"/>
  <c r="F31" i="38" s="1"/>
  <c r="B34" i="52" l="1"/>
  <c r="H46" i="38"/>
  <c r="C34" i="52"/>
  <c r="I51" i="38"/>
  <c r="I55" i="38"/>
  <c r="H55" i="38"/>
  <c r="AD1" i="37" l="1"/>
  <c r="S1" i="37"/>
  <c r="I3" i="38" l="1"/>
  <c r="I67" i="38" s="1"/>
  <c r="G3" i="38"/>
  <c r="G67" i="38" s="1"/>
  <c r="A1" i="52" l="1"/>
  <c r="K2" i="52"/>
  <c r="AA1" i="37"/>
  <c r="AE311" i="37"/>
  <c r="Z311" i="37"/>
  <c r="AE306" i="37"/>
  <c r="AE197" i="37"/>
  <c r="AC196" i="37"/>
  <c r="AC195" i="37"/>
  <c r="AC194" i="37"/>
  <c r="AC193" i="37"/>
  <c r="AC192" i="37"/>
  <c r="AC191" i="37"/>
  <c r="AE188" i="37"/>
  <c r="AC188" i="37"/>
  <c r="AE187" i="37"/>
  <c r="AC187" i="37"/>
  <c r="AE186" i="37"/>
  <c r="AC186" i="37"/>
  <c r="AE185" i="37"/>
  <c r="AC185" i="37"/>
  <c r="AE184" i="37"/>
  <c r="AC184" i="37"/>
  <c r="AE183" i="37"/>
  <c r="AC183" i="37"/>
  <c r="AE182" i="37"/>
  <c r="AC182" i="37"/>
  <c r="AE181" i="37"/>
  <c r="AC181" i="37"/>
  <c r="AE180" i="37"/>
  <c r="AC180" i="37"/>
  <c r="AE178" i="37"/>
  <c r="AC177" i="37"/>
  <c r="AC176" i="37"/>
  <c r="AC170" i="37"/>
  <c r="AB169" i="37"/>
  <c r="AB168" i="37"/>
  <c r="AB167" i="37"/>
  <c r="AB166" i="37"/>
  <c r="AB165" i="37"/>
  <c r="AB164" i="37"/>
  <c r="AD158" i="37"/>
  <c r="AB158" i="37"/>
  <c r="AD157" i="37"/>
  <c r="AB157" i="37"/>
  <c r="AD156" i="37"/>
  <c r="AB156" i="37"/>
  <c r="AD155" i="37"/>
  <c r="AB155" i="37"/>
  <c r="AD154" i="37"/>
  <c r="AB154" i="37"/>
  <c r="AD153" i="37"/>
  <c r="AB153" i="37"/>
  <c r="AD152" i="37"/>
  <c r="AB152" i="37"/>
  <c r="AD151" i="37"/>
  <c r="AB151" i="37"/>
  <c r="AD150" i="37"/>
  <c r="AB150" i="37"/>
  <c r="AG144" i="37"/>
  <c r="AF144" i="37"/>
  <c r="AE144" i="37"/>
  <c r="AD144" i="37"/>
  <c r="AG143" i="37"/>
  <c r="AF143" i="37"/>
  <c r="AE143" i="37"/>
  <c r="AD143" i="37"/>
  <c r="AG142" i="37"/>
  <c r="AF142" i="37"/>
  <c r="AE142" i="37"/>
  <c r="AD142" i="37"/>
  <c r="AG141" i="37"/>
  <c r="AF141" i="37"/>
  <c r="AE141" i="37"/>
  <c r="AD141" i="37"/>
  <c r="AG140" i="37"/>
  <c r="AF140" i="37"/>
  <c r="AE140" i="37"/>
  <c r="AD140" i="37"/>
  <c r="AG139" i="37"/>
  <c r="AF139" i="37"/>
  <c r="AE139" i="37"/>
  <c r="AD139" i="37"/>
  <c r="AG138" i="37"/>
  <c r="AF138" i="37"/>
  <c r="AE138" i="37"/>
  <c r="AD138" i="37"/>
  <c r="AG137" i="37"/>
  <c r="AF137" i="37"/>
  <c r="AE137" i="37"/>
  <c r="AD137" i="37"/>
  <c r="AB132" i="37"/>
  <c r="AA132" i="37"/>
  <c r="AD48" i="37"/>
  <c r="AC48" i="37"/>
  <c r="AA48" i="37"/>
  <c r="AC35" i="37"/>
  <c r="AA35" i="37"/>
  <c r="AC34" i="37"/>
  <c r="AA34" i="37"/>
  <c r="AC33" i="37"/>
  <c r="AA33" i="37"/>
  <c r="AC32" i="37"/>
  <c r="AA32" i="37"/>
  <c r="AC31" i="37"/>
  <c r="AA31" i="37"/>
  <c r="AC30" i="37"/>
  <c r="AA30" i="37"/>
  <c r="P1" i="37"/>
  <c r="H1" i="37"/>
  <c r="E1" i="37"/>
  <c r="D2" i="52"/>
  <c r="AG145" i="37" l="1"/>
  <c r="AE145" i="37"/>
  <c r="AD145" i="37"/>
  <c r="AC178" i="37"/>
  <c r="AF145" i="37"/>
  <c r="AB159" i="37"/>
  <c r="AA36" i="37"/>
  <c r="AD159" i="37"/>
  <c r="AC189" i="37"/>
  <c r="AC36" i="37"/>
  <c r="AB170" i="37"/>
  <c r="AE189" i="37"/>
  <c r="AC197" i="37"/>
  <c r="Q165" i="37" l="1"/>
  <c r="Q166" i="37"/>
  <c r="Q167" i="37"/>
  <c r="Q168" i="37"/>
  <c r="Q169" i="37"/>
  <c r="Q164" i="37"/>
  <c r="F165" i="37"/>
  <c r="F166" i="37"/>
  <c r="F167" i="37"/>
  <c r="F168" i="37"/>
  <c r="F169" i="37"/>
  <c r="F164" i="37"/>
  <c r="H222" i="37" l="1"/>
  <c r="G30" i="38" s="1"/>
  <c r="G222" i="37"/>
  <c r="F30" i="38" s="1"/>
  <c r="F222" i="37"/>
  <c r="G22" i="38" s="1"/>
  <c r="E222" i="37"/>
  <c r="F22" i="38" s="1"/>
  <c r="T311" i="37"/>
  <c r="O311" i="37"/>
  <c r="T306" i="37"/>
  <c r="T197" i="37"/>
  <c r="R196" i="37"/>
  <c r="R195" i="37"/>
  <c r="R194" i="37"/>
  <c r="R193" i="37"/>
  <c r="R192" i="37"/>
  <c r="R191" i="37"/>
  <c r="T188" i="37"/>
  <c r="R188" i="37"/>
  <c r="T187" i="37"/>
  <c r="R187" i="37"/>
  <c r="T186" i="37"/>
  <c r="R186" i="37"/>
  <c r="T185" i="37"/>
  <c r="R185" i="37"/>
  <c r="T184" i="37"/>
  <c r="R184" i="37"/>
  <c r="T183" i="37"/>
  <c r="R183" i="37"/>
  <c r="T182" i="37"/>
  <c r="R182" i="37"/>
  <c r="T181" i="37"/>
  <c r="R181" i="37"/>
  <c r="T180" i="37"/>
  <c r="R180" i="37"/>
  <c r="T178" i="37"/>
  <c r="I26" i="38" s="1"/>
  <c r="H30" i="52" s="1"/>
  <c r="R177" i="37"/>
  <c r="R176" i="37"/>
  <c r="R170" i="37"/>
  <c r="Q170" i="37"/>
  <c r="H19" i="38" s="1"/>
  <c r="I29" i="52" s="1"/>
  <c r="S158" i="37"/>
  <c r="Q158" i="37"/>
  <c r="S157" i="37"/>
  <c r="Q157" i="37"/>
  <c r="S156" i="37"/>
  <c r="Q156" i="37"/>
  <c r="S155" i="37"/>
  <c r="Q155" i="37"/>
  <c r="S154" i="37"/>
  <c r="Q154" i="37"/>
  <c r="S153" i="37"/>
  <c r="Q153" i="37"/>
  <c r="S152" i="37"/>
  <c r="Q152" i="37"/>
  <c r="S151" i="37"/>
  <c r="Q151" i="37"/>
  <c r="S150" i="37"/>
  <c r="Q150" i="37"/>
  <c r="V144" i="37"/>
  <c r="U144" i="37"/>
  <c r="T144" i="37"/>
  <c r="S144" i="37"/>
  <c r="V143" i="37"/>
  <c r="U143" i="37"/>
  <c r="T143" i="37"/>
  <c r="S143" i="37"/>
  <c r="V142" i="37"/>
  <c r="U142" i="37"/>
  <c r="T142" i="37"/>
  <c r="S142" i="37"/>
  <c r="V141" i="37"/>
  <c r="U141" i="37"/>
  <c r="T141" i="37"/>
  <c r="S141" i="37"/>
  <c r="V140" i="37"/>
  <c r="U140" i="37"/>
  <c r="T140" i="37"/>
  <c r="S140" i="37"/>
  <c r="V139" i="37"/>
  <c r="U139" i="37"/>
  <c r="T139" i="37"/>
  <c r="S139" i="37"/>
  <c r="V138" i="37"/>
  <c r="U138" i="37"/>
  <c r="T138" i="37"/>
  <c r="S138" i="37"/>
  <c r="V137" i="37"/>
  <c r="U137" i="37"/>
  <c r="T137" i="37"/>
  <c r="S137" i="37"/>
  <c r="Q132" i="37"/>
  <c r="I14" i="38" s="1"/>
  <c r="J14" i="98" s="1"/>
  <c r="P132" i="37"/>
  <c r="H14" i="38" s="1"/>
  <c r="S48" i="37"/>
  <c r="R48" i="37"/>
  <c r="P48" i="37"/>
  <c r="R35" i="37"/>
  <c r="P35" i="37"/>
  <c r="R34" i="37"/>
  <c r="P34" i="37"/>
  <c r="R33" i="37"/>
  <c r="P33" i="37"/>
  <c r="R32" i="37"/>
  <c r="P32" i="37"/>
  <c r="R31" i="37"/>
  <c r="P31" i="37"/>
  <c r="R30" i="37"/>
  <c r="P30" i="37"/>
  <c r="I28" i="38" l="1"/>
  <c r="H32" i="52" s="1"/>
  <c r="I198" i="37"/>
  <c r="I19" i="38"/>
  <c r="H29" i="52" s="1"/>
  <c r="H171" i="37"/>
  <c r="D22" i="98"/>
  <c r="D25" i="98" s="1"/>
  <c r="D26" i="98" s="1"/>
  <c r="T145" i="37"/>
  <c r="I17" i="38" s="1"/>
  <c r="H27" i="52" s="1"/>
  <c r="H50" i="38"/>
  <c r="H75" i="38" s="1"/>
  <c r="I50" i="38"/>
  <c r="I52" i="38" s="1"/>
  <c r="H21" i="38"/>
  <c r="I21" i="38"/>
  <c r="H42" i="38"/>
  <c r="I42" i="38"/>
  <c r="J25" i="98" s="1"/>
  <c r="I20" i="38"/>
  <c r="H20" i="38"/>
  <c r="H7" i="38"/>
  <c r="I7" i="38"/>
  <c r="E49" i="87" s="1"/>
  <c r="I29" i="38"/>
  <c r="H29" i="38"/>
  <c r="H39" i="38"/>
  <c r="I39" i="38"/>
  <c r="I44" i="38"/>
  <c r="H44" i="38"/>
  <c r="H43" i="38"/>
  <c r="I43" i="38"/>
  <c r="J19" i="98" s="1"/>
  <c r="H45" i="38"/>
  <c r="I45" i="38"/>
  <c r="J28" i="98" s="1"/>
  <c r="I38" i="38"/>
  <c r="C53" i="102" s="1"/>
  <c r="H38" i="38"/>
  <c r="H69" i="38" s="1"/>
  <c r="I37" i="38"/>
  <c r="C52" i="102" s="1"/>
  <c r="H37" i="38"/>
  <c r="H68" i="38" s="1"/>
  <c r="S145" i="37"/>
  <c r="H17" i="38" s="1"/>
  <c r="J9" i="98" s="1"/>
  <c r="V145" i="37"/>
  <c r="H11" i="38"/>
  <c r="I11" i="38"/>
  <c r="U145" i="37"/>
  <c r="R197" i="37"/>
  <c r="H28" i="38" s="1"/>
  <c r="I32" i="52" s="1"/>
  <c r="R36" i="37"/>
  <c r="I10" i="38" s="1"/>
  <c r="R189" i="37"/>
  <c r="H27" i="38" s="1"/>
  <c r="I31" i="52" s="1"/>
  <c r="S159" i="37"/>
  <c r="P36" i="37"/>
  <c r="H10" i="38" s="1"/>
  <c r="I9" i="52" s="1"/>
  <c r="Q159" i="37"/>
  <c r="H18" i="38" s="1"/>
  <c r="I28" i="52" s="1"/>
  <c r="T189" i="37"/>
  <c r="I27" i="38" s="1"/>
  <c r="H31" i="52" s="1"/>
  <c r="R178" i="37"/>
  <c r="H26" i="38" s="1"/>
  <c r="I30" i="52" s="1"/>
  <c r="I18" i="38" l="1"/>
  <c r="I24" i="38" s="1"/>
  <c r="H160" i="37"/>
  <c r="D19" i="91"/>
  <c r="C19" i="91"/>
  <c r="D16" i="98"/>
  <c r="D19" i="98" s="1"/>
  <c r="D20" i="98" s="1"/>
  <c r="H33" i="52"/>
  <c r="H52" i="38"/>
  <c r="H76" i="38"/>
  <c r="B25" i="93" s="1"/>
  <c r="H72" i="38"/>
  <c r="D15" i="91"/>
  <c r="C15" i="91"/>
  <c r="C17" i="91" s="1"/>
  <c r="H28" i="52"/>
  <c r="D28" i="98"/>
  <c r="D31" i="98" s="1"/>
  <c r="D32" i="98" s="1"/>
  <c r="H9" i="52"/>
  <c r="J6" i="98"/>
  <c r="H8" i="52"/>
  <c r="J7" i="98"/>
  <c r="H24" i="38"/>
  <c r="I27" i="52"/>
  <c r="H14" i="52"/>
  <c r="H15" i="52"/>
  <c r="I33" i="52"/>
  <c r="I32" i="38"/>
  <c r="H15" i="38"/>
  <c r="H32" i="38"/>
  <c r="H41" i="38"/>
  <c r="H71" i="38" s="1"/>
  <c r="I41" i="38"/>
  <c r="J24" i="98" s="1"/>
  <c r="H40" i="38"/>
  <c r="H70" i="38" s="1"/>
  <c r="I40" i="38"/>
  <c r="J23" i="98" s="1"/>
  <c r="I36" i="38"/>
  <c r="H36" i="38"/>
  <c r="I15" i="38"/>
  <c r="G170" i="37"/>
  <c r="G19" i="38" s="1"/>
  <c r="F170" i="37"/>
  <c r="F19" i="38" s="1"/>
  <c r="C29" i="52" s="1"/>
  <c r="G55" i="38"/>
  <c r="I311" i="37"/>
  <c r="F45" i="38" s="1"/>
  <c r="I306" i="37"/>
  <c r="G44" i="38" s="1"/>
  <c r="G267" i="37"/>
  <c r="F267" i="37"/>
  <c r="E210" i="37"/>
  <c r="G39" i="38" s="1"/>
  <c r="F210" i="37"/>
  <c r="G42" i="38" s="1"/>
  <c r="G210" i="37"/>
  <c r="G50" i="38" s="1"/>
  <c r="D210" i="37"/>
  <c r="F21" i="38" s="1"/>
  <c r="D33" i="98" l="1"/>
  <c r="C93" i="102" s="1"/>
  <c r="C21" i="91"/>
  <c r="H77" i="38"/>
  <c r="B24" i="93" s="1"/>
  <c r="E9" i="87"/>
  <c r="E16" i="87" s="1"/>
  <c r="E71" i="87" s="1"/>
  <c r="F19" i="83"/>
  <c r="H73" i="38"/>
  <c r="B29" i="52"/>
  <c r="E37" i="93"/>
  <c r="I25" i="98"/>
  <c r="I8" i="52"/>
  <c r="J18" i="98"/>
  <c r="H47" i="38"/>
  <c r="I47" i="38"/>
  <c r="B26" i="93" s="1"/>
  <c r="K263" i="37"/>
  <c r="K266" i="37"/>
  <c r="K264" i="37"/>
  <c r="K265" i="37"/>
  <c r="K262" i="37"/>
  <c r="F42" i="38"/>
  <c r="G45" i="38"/>
  <c r="G21" i="38"/>
  <c r="F39" i="38"/>
  <c r="F44" i="38"/>
  <c r="F50" i="38"/>
  <c r="F55" i="38"/>
  <c r="I47" i="83" l="1"/>
  <c r="I49" i="83" s="1"/>
  <c r="H74" i="38"/>
  <c r="D29" i="91"/>
  <c r="C29" i="91"/>
  <c r="G12" i="84"/>
  <c r="E11" i="93"/>
  <c r="E13" i="93" s="1"/>
  <c r="F12" i="84"/>
  <c r="H3" i="107"/>
  <c r="F3" i="107"/>
  <c r="I296" i="37"/>
  <c r="F54" i="83"/>
  <c r="H12" i="84"/>
  <c r="E39" i="93"/>
  <c r="B12" i="93"/>
  <c r="I28" i="98"/>
  <c r="K28" i="98" s="1"/>
  <c r="F66" i="37"/>
  <c r="G56" i="37"/>
  <c r="F56" i="37" s="1"/>
  <c r="G57" i="37"/>
  <c r="F57" i="37" s="1"/>
  <c r="G58" i="37"/>
  <c r="F58" i="37" s="1"/>
  <c r="G59" i="37"/>
  <c r="F59" i="37" s="1"/>
  <c r="G60" i="37"/>
  <c r="F60" i="37" s="1"/>
  <c r="G61" i="37"/>
  <c r="F61" i="37" s="1"/>
  <c r="G62" i="37"/>
  <c r="F62" i="37" s="1"/>
  <c r="G63" i="37"/>
  <c r="F63" i="37" s="1"/>
  <c r="G55" i="37"/>
  <c r="F55" i="37" s="1"/>
  <c r="E48" i="37"/>
  <c r="G48" i="37"/>
  <c r="G17" i="84" l="1"/>
  <c r="G13" i="84"/>
  <c r="G14" i="84"/>
  <c r="G15" i="84"/>
  <c r="G16" i="84"/>
  <c r="G18" i="84"/>
  <c r="H15" i="84"/>
  <c r="H14" i="84"/>
  <c r="H17" i="84"/>
  <c r="H13" i="84"/>
  <c r="H16" i="84"/>
  <c r="H18" i="84"/>
  <c r="C4" i="91"/>
  <c r="C7" i="91" s="1"/>
  <c r="C11" i="91" s="1"/>
  <c r="B15" i="93"/>
  <c r="F76" i="83"/>
  <c r="F74" i="83"/>
  <c r="F73" i="83"/>
  <c r="F62" i="83"/>
  <c r="F75" i="83"/>
  <c r="C12" i="93"/>
  <c r="D12" i="93"/>
  <c r="E12" i="93"/>
  <c r="F15" i="84"/>
  <c r="F17" i="84"/>
  <c r="F13" i="84"/>
  <c r="F16" i="84"/>
  <c r="F14" i="84"/>
  <c r="F18" i="84"/>
  <c r="E14" i="93" s="1"/>
  <c r="F20" i="38"/>
  <c r="G20" i="38"/>
  <c r="G11" i="38"/>
  <c r="F11" i="38"/>
  <c r="G64" i="37"/>
  <c r="C24" i="91" l="1"/>
  <c r="C34" i="91" s="1"/>
  <c r="C33" i="91"/>
  <c r="C13" i="91"/>
  <c r="C31" i="91"/>
  <c r="E15" i="93"/>
  <c r="C15" i="93"/>
  <c r="D15" i="93"/>
  <c r="E41" i="93"/>
  <c r="F67" i="83"/>
  <c r="B17" i="93" s="1"/>
  <c r="B16" i="93"/>
  <c r="I7" i="98"/>
  <c r="C32" i="91" l="1"/>
  <c r="C26" i="91"/>
  <c r="E16" i="93"/>
  <c r="C16" i="93"/>
  <c r="D16" i="93"/>
  <c r="D17" i="93"/>
  <c r="E17" i="93"/>
  <c r="C17" i="93"/>
  <c r="J15" i="52"/>
  <c r="J14" i="52"/>
  <c r="J22" i="52"/>
  <c r="J21" i="52"/>
  <c r="J20" i="52"/>
  <c r="J19" i="52"/>
  <c r="J18" i="52"/>
  <c r="J17" i="52"/>
  <c r="J16" i="52"/>
  <c r="D16" i="52"/>
  <c r="D17" i="52"/>
  <c r="D18" i="52"/>
  <c r="D19" i="52"/>
  <c r="D20" i="52"/>
  <c r="D21" i="52"/>
  <c r="D22" i="52"/>
  <c r="E16" i="52"/>
  <c r="J33" i="52" l="1"/>
  <c r="K33" i="52" s="1"/>
  <c r="J27" i="52"/>
  <c r="K27" i="52" s="1"/>
  <c r="J29" i="52"/>
  <c r="K29" i="52" s="1"/>
  <c r="J30" i="52"/>
  <c r="K30" i="52" s="1"/>
  <c r="J31" i="52"/>
  <c r="K31" i="52" s="1"/>
  <c r="J32" i="52"/>
  <c r="K32" i="52" s="1"/>
  <c r="J23" i="52"/>
  <c r="J34" i="52"/>
  <c r="K34" i="52" s="1"/>
  <c r="J28" i="52"/>
  <c r="K28" i="52" s="1"/>
  <c r="E22" i="52"/>
  <c r="E21" i="52"/>
  <c r="E20" i="52"/>
  <c r="E19" i="52"/>
  <c r="E18" i="52"/>
  <c r="E17" i="52"/>
  <c r="K16" i="52"/>
  <c r="K18" i="52"/>
  <c r="K20" i="52"/>
  <c r="K22" i="52"/>
  <c r="K17" i="52"/>
  <c r="K19" i="52"/>
  <c r="K21" i="52"/>
  <c r="K15" i="52"/>
  <c r="K14" i="52"/>
  <c r="J9" i="52"/>
  <c r="K9" i="52" s="1"/>
  <c r="D29" i="52"/>
  <c r="D34" i="52"/>
  <c r="E18" i="79" l="1"/>
  <c r="E23" i="79"/>
  <c r="E34" i="52"/>
  <c r="E29" i="52"/>
  <c r="J35" i="52"/>
  <c r="K23" i="52"/>
  <c r="K35" i="52"/>
  <c r="H151" i="37" l="1"/>
  <c r="H152" i="37"/>
  <c r="H153" i="37"/>
  <c r="H154" i="37"/>
  <c r="H155" i="37"/>
  <c r="H156" i="37"/>
  <c r="H157" i="37"/>
  <c r="H158" i="37"/>
  <c r="F151" i="37"/>
  <c r="F152" i="37"/>
  <c r="F153" i="37"/>
  <c r="F154" i="37"/>
  <c r="F155" i="37"/>
  <c r="F156" i="37"/>
  <c r="F157" i="37"/>
  <c r="F158" i="37"/>
  <c r="H150" i="37"/>
  <c r="F150" i="37"/>
  <c r="H138" i="37"/>
  <c r="I138" i="37"/>
  <c r="J138" i="37"/>
  <c r="K138" i="37"/>
  <c r="H139" i="37"/>
  <c r="I139" i="37"/>
  <c r="J139" i="37"/>
  <c r="K139" i="37"/>
  <c r="H140" i="37"/>
  <c r="I140" i="37"/>
  <c r="J140" i="37"/>
  <c r="K140" i="37"/>
  <c r="H141" i="37"/>
  <c r="I141" i="37"/>
  <c r="J141" i="37"/>
  <c r="K141" i="37"/>
  <c r="H142" i="37"/>
  <c r="I142" i="37"/>
  <c r="J142" i="37"/>
  <c r="K142" i="37"/>
  <c r="H143" i="37"/>
  <c r="I143" i="37"/>
  <c r="J143" i="37"/>
  <c r="K143" i="37"/>
  <c r="H144" i="37"/>
  <c r="I144" i="37"/>
  <c r="J144" i="37"/>
  <c r="K144" i="37"/>
  <c r="K137" i="37"/>
  <c r="J137" i="37"/>
  <c r="I137" i="37"/>
  <c r="H137" i="37"/>
  <c r="I145" i="37" l="1"/>
  <c r="G17" i="38" s="1"/>
  <c r="B27" i="52" s="1"/>
  <c r="H159" i="37"/>
  <c r="G18" i="38" s="1"/>
  <c r="B28" i="52" s="1"/>
  <c r="H145" i="37"/>
  <c r="F17" i="38" s="1"/>
  <c r="I9" i="98" s="1"/>
  <c r="J145" i="37"/>
  <c r="F159" i="37"/>
  <c r="F18" i="38" s="1"/>
  <c r="C28" i="52" s="1"/>
  <c r="K145" i="37"/>
  <c r="G59" i="83" s="1"/>
  <c r="C27" i="52" l="1"/>
  <c r="B14" i="52"/>
  <c r="F24" i="38"/>
  <c r="G24" i="38"/>
  <c r="D28" i="52"/>
  <c r="K9" i="98"/>
  <c r="G12" i="37"/>
  <c r="E17" i="79" l="1"/>
  <c r="E28" i="52"/>
  <c r="G7" i="38"/>
  <c r="F7" i="38"/>
  <c r="E51" i="87" l="1"/>
  <c r="D14" i="52"/>
  <c r="E14" i="52" l="1"/>
  <c r="D27" i="52"/>
  <c r="E16" i="79" l="1"/>
  <c r="E27" i="52"/>
  <c r="G56" i="38" l="1"/>
  <c r="I29" i="98" s="1"/>
  <c r="F56" i="38"/>
  <c r="F24" i="93" l="1"/>
  <c r="C24" i="93"/>
  <c r="D24" i="93"/>
  <c r="F25" i="93"/>
  <c r="C25" i="93"/>
  <c r="D25" i="93"/>
  <c r="G181" i="37" l="1"/>
  <c r="G182" i="37"/>
  <c r="G183" i="37"/>
  <c r="G184" i="37"/>
  <c r="G185" i="37"/>
  <c r="G186" i="37"/>
  <c r="G187" i="37"/>
  <c r="G188" i="37"/>
  <c r="G180" i="37" l="1"/>
  <c r="I181" i="37" l="1"/>
  <c r="I182" i="37"/>
  <c r="I183" i="37"/>
  <c r="I184" i="37"/>
  <c r="I185" i="37"/>
  <c r="I186" i="37"/>
  <c r="I187" i="37"/>
  <c r="I188" i="37"/>
  <c r="I180" i="37"/>
  <c r="D311" i="37" l="1"/>
  <c r="H291" i="37"/>
  <c r="H292" i="37" s="1"/>
  <c r="G291" i="37"/>
  <c r="F291" i="37"/>
  <c r="H283" i="37"/>
  <c r="H284" i="37" s="1"/>
  <c r="G283" i="37"/>
  <c r="F283" i="37"/>
  <c r="G269" i="37"/>
  <c r="F259" i="37"/>
  <c r="G259" i="37"/>
  <c r="F252" i="37"/>
  <c r="G252" i="37"/>
  <c r="I197" i="37"/>
  <c r="G28" i="38" s="1"/>
  <c r="B32" i="52" s="1"/>
  <c r="G196" i="37"/>
  <c r="G195" i="37"/>
  <c r="G194" i="37"/>
  <c r="G193" i="37"/>
  <c r="G192" i="37"/>
  <c r="G191" i="37"/>
  <c r="I189" i="37"/>
  <c r="I178" i="37"/>
  <c r="G26" i="38" s="1"/>
  <c r="B30" i="52" s="1"/>
  <c r="G177" i="37"/>
  <c r="G176" i="37"/>
  <c r="F132" i="37"/>
  <c r="G14" i="38" s="1"/>
  <c r="I14" i="98" s="1"/>
  <c r="E132" i="37"/>
  <c r="F14" i="38" s="1"/>
  <c r="F117" i="37"/>
  <c r="G117" i="37" s="1"/>
  <c r="F116" i="37"/>
  <c r="G116" i="37" s="1"/>
  <c r="F115" i="37"/>
  <c r="G115" i="37" s="1"/>
  <c r="F112" i="37"/>
  <c r="G112" i="37" s="1"/>
  <c r="F111" i="37"/>
  <c r="G111" i="37" s="1"/>
  <c r="F110" i="37"/>
  <c r="F82" i="37"/>
  <c r="G82" i="37" s="1"/>
  <c r="F81" i="37"/>
  <c r="G81" i="37" s="1"/>
  <c r="F80" i="37"/>
  <c r="G80" i="37" s="1"/>
  <c r="F78" i="37"/>
  <c r="F77" i="37"/>
  <c r="G77" i="37" s="1"/>
  <c r="F76" i="37"/>
  <c r="F97" i="37"/>
  <c r="F96" i="37"/>
  <c r="G96" i="37" s="1"/>
  <c r="F95" i="37"/>
  <c r="G95" i="37" s="1"/>
  <c r="F94" i="37"/>
  <c r="G94" i="37" s="1"/>
  <c r="F93" i="37"/>
  <c r="G93" i="37" s="1"/>
  <c r="F92" i="37"/>
  <c r="G92" i="37" s="1"/>
  <c r="F91" i="37"/>
  <c r="G91" i="37" s="1"/>
  <c r="H48" i="37"/>
  <c r="G35" i="37"/>
  <c r="E35" i="37"/>
  <c r="G34" i="37"/>
  <c r="E34" i="37"/>
  <c r="G33" i="37"/>
  <c r="E33" i="37"/>
  <c r="G32" i="37"/>
  <c r="E32" i="37"/>
  <c r="G31" i="37"/>
  <c r="E31" i="37"/>
  <c r="G30" i="37"/>
  <c r="E30" i="37"/>
  <c r="G27" i="38" l="1"/>
  <c r="B31" i="52" s="1"/>
  <c r="G110" i="37"/>
  <c r="G118" i="37" s="1"/>
  <c r="F118" i="37"/>
  <c r="G97" i="37"/>
  <c r="G76" i="37"/>
  <c r="F84" i="37"/>
  <c r="G78" i="37"/>
  <c r="K14" i="98"/>
  <c r="F49" i="38"/>
  <c r="G49" i="38"/>
  <c r="F54" i="38"/>
  <c r="F57" i="38" s="1"/>
  <c r="G54" i="38"/>
  <c r="G57" i="38" s="1"/>
  <c r="F268" i="37"/>
  <c r="G40" i="38" s="1"/>
  <c r="J8" i="52"/>
  <c r="I33" i="38"/>
  <c r="G29" i="38"/>
  <c r="F29" i="38"/>
  <c r="G37" i="38"/>
  <c r="F37" i="38"/>
  <c r="F68" i="38" s="1"/>
  <c r="F43" i="38"/>
  <c r="G43" i="38"/>
  <c r="G51" i="38"/>
  <c r="F51" i="38"/>
  <c r="G46" i="38"/>
  <c r="F46" i="38"/>
  <c r="F292" i="37"/>
  <c r="G292" i="37"/>
  <c r="G98" i="37"/>
  <c r="G74" i="37"/>
  <c r="G178" i="37"/>
  <c r="F26" i="38" s="1"/>
  <c r="C30" i="52" s="1"/>
  <c r="G36" i="37"/>
  <c r="G10" i="38" s="1"/>
  <c r="G260" i="37"/>
  <c r="F64" i="37"/>
  <c r="E36" i="37"/>
  <c r="F10" i="38" s="1"/>
  <c r="C9" i="52" s="1"/>
  <c r="F98" i="37"/>
  <c r="G189" i="37"/>
  <c r="G197" i="37"/>
  <c r="F28" i="38" s="1"/>
  <c r="C32" i="52" s="1"/>
  <c r="F74" i="37"/>
  <c r="H33" i="38"/>
  <c r="F75" i="38" l="1"/>
  <c r="F119" i="37"/>
  <c r="F13" i="38" s="1"/>
  <c r="G119" i="37"/>
  <c r="G13" i="38" s="1"/>
  <c r="I13" i="98" s="1"/>
  <c r="K13" i="98" s="1"/>
  <c r="F27" i="38"/>
  <c r="C31" i="52" s="1"/>
  <c r="D31" i="52" s="1"/>
  <c r="I19" i="98"/>
  <c r="K19" i="98" s="1"/>
  <c r="B15" i="52"/>
  <c r="D15" i="52" s="1"/>
  <c r="C33" i="52"/>
  <c r="G32" i="38"/>
  <c r="B33" i="52"/>
  <c r="I23" i="98"/>
  <c r="K23" i="98" s="1"/>
  <c r="D12" i="91" s="1"/>
  <c r="D18" i="91" s="1"/>
  <c r="I20" i="98"/>
  <c r="K20" i="98" s="1"/>
  <c r="B9" i="52"/>
  <c r="D9" i="52" s="1"/>
  <c r="E9" i="52" s="1"/>
  <c r="I6" i="98"/>
  <c r="K6" i="98" s="1"/>
  <c r="D32" i="52"/>
  <c r="E21" i="79" s="1"/>
  <c r="G52" i="38"/>
  <c r="F52" i="38"/>
  <c r="F85" i="37"/>
  <c r="F12" i="38" s="1"/>
  <c r="G84" i="37"/>
  <c r="D30" i="52"/>
  <c r="E30" i="52" s="1"/>
  <c r="I294" i="37"/>
  <c r="I295" i="37" s="1"/>
  <c r="K287" i="37"/>
  <c r="K276" i="37"/>
  <c r="K281" i="37"/>
  <c r="K271" i="37"/>
  <c r="K289" i="37"/>
  <c r="K288" i="37"/>
  <c r="K290" i="37"/>
  <c r="K286" i="37"/>
  <c r="K272" i="37"/>
  <c r="K273" i="37"/>
  <c r="K274" i="37"/>
  <c r="K275" i="37"/>
  <c r="K277" i="37"/>
  <c r="K278" i="37"/>
  <c r="K279" i="37"/>
  <c r="K282" i="37"/>
  <c r="K280" i="37"/>
  <c r="W263" i="37"/>
  <c r="L279" i="37"/>
  <c r="L287" i="37"/>
  <c r="L288" i="37"/>
  <c r="AH264" i="37"/>
  <c r="L272" i="37"/>
  <c r="AH265" i="37"/>
  <c r="W265" i="37"/>
  <c r="W266" i="37"/>
  <c r="L290" i="37"/>
  <c r="AH263" i="37"/>
  <c r="L289" i="37"/>
  <c r="L273" i="37"/>
  <c r="L280" i="37"/>
  <c r="L281" i="37"/>
  <c r="W262" i="37"/>
  <c r="L277" i="37"/>
  <c r="AH262" i="37"/>
  <c r="L264" i="37"/>
  <c r="L266" i="37"/>
  <c r="L282" i="37"/>
  <c r="L274" i="37"/>
  <c r="W264" i="37"/>
  <c r="L265" i="37"/>
  <c r="L286" i="37"/>
  <c r="L263" i="37"/>
  <c r="L275" i="37"/>
  <c r="L276" i="37"/>
  <c r="L262" i="37"/>
  <c r="L271" i="37"/>
  <c r="L278" i="37"/>
  <c r="AH266" i="37"/>
  <c r="K7" i="98"/>
  <c r="F26" i="93"/>
  <c r="C26" i="93"/>
  <c r="D26" i="93"/>
  <c r="G36" i="38"/>
  <c r="F36" i="38"/>
  <c r="I293" i="37"/>
  <c r="F40" i="38"/>
  <c r="F70" i="38" s="1"/>
  <c r="K8" i="52"/>
  <c r="K11" i="52" s="1"/>
  <c r="J11" i="52"/>
  <c r="G38" i="38"/>
  <c r="F38" i="38"/>
  <c r="F69" i="38" s="1"/>
  <c r="F41" i="38"/>
  <c r="F71" i="38" s="1"/>
  <c r="G41" i="38"/>
  <c r="C28" i="84" l="1"/>
  <c r="C29" i="84" s="1"/>
  <c r="F32" i="38"/>
  <c r="C36" i="52"/>
  <c r="F15" i="38"/>
  <c r="F33" i="38" s="1"/>
  <c r="I297" i="37"/>
  <c r="K15" i="98"/>
  <c r="G50" i="83" s="1"/>
  <c r="F76" i="38"/>
  <c r="F77" i="38" s="1"/>
  <c r="F73" i="38"/>
  <c r="F72" i="38"/>
  <c r="AE298" i="37"/>
  <c r="C8" i="52"/>
  <c r="I18" i="98"/>
  <c r="K18" i="98" s="1"/>
  <c r="K21" i="98" s="1"/>
  <c r="G51" i="83" s="1"/>
  <c r="E32" i="52"/>
  <c r="K25" i="98"/>
  <c r="I24" i="98"/>
  <c r="K24" i="98" s="1"/>
  <c r="E19" i="79"/>
  <c r="G47" i="38"/>
  <c r="G52" i="85" s="1"/>
  <c r="G85" i="37"/>
  <c r="G12" i="38" s="1"/>
  <c r="G15" i="38" s="1"/>
  <c r="F47" i="38"/>
  <c r="F58" i="38" s="1"/>
  <c r="T298" i="37"/>
  <c r="E20" i="79"/>
  <c r="E31" i="52"/>
  <c r="D33" i="52"/>
  <c r="B36" i="52"/>
  <c r="E15" i="52"/>
  <c r="E23" i="52" s="1"/>
  <c r="D23" i="52"/>
  <c r="I298" i="37"/>
  <c r="I56" i="38"/>
  <c r="H56" i="38"/>
  <c r="K37" i="52"/>
  <c r="F74" i="38" l="1"/>
  <c r="E28" i="84"/>
  <c r="D28" i="84"/>
  <c r="E29" i="84"/>
  <c r="D29" i="84"/>
  <c r="E57" i="93"/>
  <c r="G51" i="85"/>
  <c r="J51" i="85" s="1"/>
  <c r="D16" i="91"/>
  <c r="D17" i="91" s="1"/>
  <c r="B23" i="93" s="1"/>
  <c r="G5" i="85"/>
  <c r="J5" i="85" s="1"/>
  <c r="I8" i="98"/>
  <c r="K8" i="98" s="1"/>
  <c r="K10" i="98" s="1"/>
  <c r="G18" i="83" s="1"/>
  <c r="E65" i="87" s="1"/>
  <c r="B8" i="52"/>
  <c r="D8" i="52" s="1"/>
  <c r="D11" i="52" s="1"/>
  <c r="K26" i="98"/>
  <c r="G57" i="83" s="1"/>
  <c r="E68" i="87" s="1"/>
  <c r="I57" i="38"/>
  <c r="I58" i="38" s="1"/>
  <c r="B27" i="93" s="1"/>
  <c r="J29" i="98"/>
  <c r="G6" i="85"/>
  <c r="D33" i="107"/>
  <c r="E66" i="87"/>
  <c r="G52" i="83"/>
  <c r="G72" i="83" s="1"/>
  <c r="G58" i="38"/>
  <c r="D34" i="107"/>
  <c r="E67" i="87"/>
  <c r="G33" i="38"/>
  <c r="F60" i="38"/>
  <c r="F63" i="38"/>
  <c r="E22" i="79"/>
  <c r="F25" i="79" s="1"/>
  <c r="E33" i="52"/>
  <c r="E35" i="52" s="1"/>
  <c r="D36" i="52"/>
  <c r="D35" i="52"/>
  <c r="H57" i="38"/>
  <c r="H58" i="38" s="1"/>
  <c r="E48" i="87"/>
  <c r="E50" i="87" s="1"/>
  <c r="J6" i="85" l="1"/>
  <c r="G50" i="85"/>
  <c r="E32" i="93"/>
  <c r="E34" i="93"/>
  <c r="E31" i="93"/>
  <c r="D21" i="91"/>
  <c r="G48" i="85"/>
  <c r="J48" i="85" s="1"/>
  <c r="C30" i="84"/>
  <c r="E53" i="93"/>
  <c r="J50" i="85"/>
  <c r="G71" i="83"/>
  <c r="B22" i="93" s="1"/>
  <c r="C22" i="93" s="1"/>
  <c r="D39" i="107"/>
  <c r="K39" i="107" s="1"/>
  <c r="E35" i="93"/>
  <c r="G19" i="83"/>
  <c r="F64" i="38"/>
  <c r="C26" i="84"/>
  <c r="E56" i="93"/>
  <c r="D49" i="107"/>
  <c r="D35" i="107"/>
  <c r="G8" i="85"/>
  <c r="J8" i="85" s="1"/>
  <c r="H63" i="38"/>
  <c r="G60" i="38"/>
  <c r="B6" i="93"/>
  <c r="D6" i="93" s="1"/>
  <c r="C6" i="84"/>
  <c r="E6" i="84" s="1"/>
  <c r="F33" i="107"/>
  <c r="K33" i="107"/>
  <c r="L33" i="107" s="1"/>
  <c r="H33" i="107"/>
  <c r="L28" i="84" s="1"/>
  <c r="M28" i="84" s="1"/>
  <c r="E8" i="52"/>
  <c r="E11" i="52" s="1"/>
  <c r="F34" i="107"/>
  <c r="H34" i="107"/>
  <c r="K34" i="107"/>
  <c r="L13" i="92"/>
  <c r="L12" i="92"/>
  <c r="E52" i="87"/>
  <c r="E53" i="87" s="1"/>
  <c r="K29" i="98"/>
  <c r="H60" i="38"/>
  <c r="F65" i="38" s="1"/>
  <c r="I60" i="38"/>
  <c r="H64" i="38"/>
  <c r="E20" i="93" l="1"/>
  <c r="E23" i="93" s="1"/>
  <c r="E3" i="93"/>
  <c r="F4" i="84"/>
  <c r="E33" i="93" s="1"/>
  <c r="G4" i="84"/>
  <c r="H4" i="84"/>
  <c r="C71" i="102"/>
  <c r="G46" i="85" s="1"/>
  <c r="J46" i="85" s="1"/>
  <c r="E30" i="84"/>
  <c r="D30" i="84"/>
  <c r="H39" i="107"/>
  <c r="H48" i="107" s="1"/>
  <c r="L20" i="84" s="1"/>
  <c r="F39" i="107"/>
  <c r="F48" i="107" s="1"/>
  <c r="D9" i="92"/>
  <c r="L6" i="92" s="1"/>
  <c r="D48" i="107"/>
  <c r="L4" i="92"/>
  <c r="L7" i="92" s="1"/>
  <c r="G42" i="85"/>
  <c r="J42" i="85" s="1"/>
  <c r="G44" i="85"/>
  <c r="J44" i="85" s="1"/>
  <c r="B28" i="93"/>
  <c r="G43" i="85"/>
  <c r="J43" i="85" s="1"/>
  <c r="G41" i="85"/>
  <c r="J41" i="85" s="1"/>
  <c r="E52" i="93"/>
  <c r="C20" i="84"/>
  <c r="E40" i="93" s="1"/>
  <c r="G27" i="85"/>
  <c r="J27" i="85" s="1"/>
  <c r="G7" i="85"/>
  <c r="J7" i="85" s="1"/>
  <c r="G25" i="85"/>
  <c r="J25" i="85" s="1"/>
  <c r="G20" i="93"/>
  <c r="B4" i="93"/>
  <c r="D4" i="93" s="1"/>
  <c r="G26" i="85"/>
  <c r="J26" i="85" s="1"/>
  <c r="G54" i="83"/>
  <c r="G5" i="84"/>
  <c r="E26" i="84"/>
  <c r="D26" i="84"/>
  <c r="G30" i="79"/>
  <c r="C6" i="93"/>
  <c r="H35" i="107"/>
  <c r="L15" i="84" s="1"/>
  <c r="M15" i="84" s="1"/>
  <c r="G23" i="85"/>
  <c r="J23" i="85" s="1"/>
  <c r="N28" i="84"/>
  <c r="L29" i="84"/>
  <c r="M29" i="84" s="1"/>
  <c r="I28" i="84"/>
  <c r="D22" i="93"/>
  <c r="F22" i="93"/>
  <c r="K48" i="107"/>
  <c r="L39" i="107"/>
  <c r="D23" i="93"/>
  <c r="C23" i="93"/>
  <c r="F23" i="93"/>
  <c r="E37" i="52"/>
  <c r="L34" i="107"/>
  <c r="L35" i="107" s="1"/>
  <c r="L46" i="107" s="1"/>
  <c r="K35" i="107"/>
  <c r="F35" i="107"/>
  <c r="H65" i="38"/>
  <c r="G11" i="85" s="1"/>
  <c r="J11" i="85" s="1"/>
  <c r="K30" i="98"/>
  <c r="K31" i="98" s="1"/>
  <c r="G10" i="85"/>
  <c r="J10" i="85" s="1"/>
  <c r="F27" i="93"/>
  <c r="D27" i="93"/>
  <c r="C27" i="93"/>
  <c r="G3" i="79"/>
  <c r="D6" i="84"/>
  <c r="D50" i="107" l="1"/>
  <c r="E45" i="93"/>
  <c r="E47" i="93"/>
  <c r="E46" i="93"/>
  <c r="D53" i="107"/>
  <c r="F50" i="107"/>
  <c r="I7" i="84" s="1"/>
  <c r="K7" i="84" s="1"/>
  <c r="C7" i="84"/>
  <c r="D7" i="84" s="1"/>
  <c r="E7" i="79"/>
  <c r="E12" i="79" s="1"/>
  <c r="F13" i="79" s="1"/>
  <c r="L22" i="84"/>
  <c r="I22" i="84"/>
  <c r="C22" i="84"/>
  <c r="F22" i="84" s="1"/>
  <c r="C9" i="84"/>
  <c r="G9" i="84" s="1"/>
  <c r="C8" i="84"/>
  <c r="F8" i="84" s="1"/>
  <c r="D52" i="107"/>
  <c r="D51" i="107"/>
  <c r="G29" i="85"/>
  <c r="J29" i="85" s="1"/>
  <c r="C10" i="84"/>
  <c r="D10" i="84" s="1"/>
  <c r="I20" i="84"/>
  <c r="J20" i="84" s="1"/>
  <c r="H50" i="107"/>
  <c r="L7" i="84" s="1"/>
  <c r="N7" i="84" s="1"/>
  <c r="H6" i="84"/>
  <c r="H20" i="84"/>
  <c r="D20" i="84"/>
  <c r="G62" i="83"/>
  <c r="B9" i="93" s="1"/>
  <c r="C9" i="93" s="1"/>
  <c r="G45" i="85"/>
  <c r="J45" i="85" s="1"/>
  <c r="H24" i="84"/>
  <c r="E20" i="84"/>
  <c r="L8" i="92" s="1"/>
  <c r="L5" i="92"/>
  <c r="G24" i="85"/>
  <c r="J24" i="85" s="1"/>
  <c r="E51" i="93"/>
  <c r="H25" i="84"/>
  <c r="H28" i="84"/>
  <c r="H29" i="84"/>
  <c r="H31" i="84"/>
  <c r="H26" i="84"/>
  <c r="H21" i="84"/>
  <c r="G22" i="93"/>
  <c r="H30" i="84"/>
  <c r="G27" i="93"/>
  <c r="H27" i="84"/>
  <c r="G24" i="93"/>
  <c r="G25" i="93"/>
  <c r="D4" i="91"/>
  <c r="D7" i="91" s="1"/>
  <c r="G23" i="93"/>
  <c r="G26" i="93"/>
  <c r="G73" i="83"/>
  <c r="G37" i="85" s="1"/>
  <c r="J37" i="85" s="1"/>
  <c r="G75" i="83"/>
  <c r="C4" i="93"/>
  <c r="G36" i="85"/>
  <c r="J36" i="85" s="1"/>
  <c r="E6" i="93"/>
  <c r="G28" i="85"/>
  <c r="J28" i="85" s="1"/>
  <c r="E22" i="93"/>
  <c r="E27" i="93"/>
  <c r="G74" i="83"/>
  <c r="G76" i="83"/>
  <c r="B8" i="93"/>
  <c r="C8" i="93" s="1"/>
  <c r="E24" i="93"/>
  <c r="E25" i="93"/>
  <c r="E26" i="93"/>
  <c r="E4" i="93"/>
  <c r="F31" i="84"/>
  <c r="F26" i="84"/>
  <c r="F27" i="84"/>
  <c r="F30" i="84"/>
  <c r="F21" i="84"/>
  <c r="L14" i="92"/>
  <c r="F28" i="84"/>
  <c r="F29" i="84"/>
  <c r="F24" i="84"/>
  <c r="F25" i="84"/>
  <c r="F6" i="84"/>
  <c r="F20" i="84"/>
  <c r="L9" i="92" s="1"/>
  <c r="H53" i="107"/>
  <c r="L10" i="84" s="1"/>
  <c r="N10" i="84" s="1"/>
  <c r="L13" i="84"/>
  <c r="N13" i="84" s="1"/>
  <c r="H51" i="107"/>
  <c r="L8" i="84" s="1"/>
  <c r="M8" i="84" s="1"/>
  <c r="L16" i="84"/>
  <c r="N16" i="84" s="1"/>
  <c r="L14" i="84"/>
  <c r="M14" i="84" s="1"/>
  <c r="N29" i="84"/>
  <c r="H49" i="107"/>
  <c r="L6" i="84" s="1"/>
  <c r="N6" i="84" s="1"/>
  <c r="N15" i="84"/>
  <c r="H52" i="107"/>
  <c r="L9" i="84" s="1"/>
  <c r="N9" i="84" s="1"/>
  <c r="B8" i="92"/>
  <c r="K28" i="84"/>
  <c r="I29" i="84"/>
  <c r="J28" i="84"/>
  <c r="M20" i="84"/>
  <c r="N20" i="84"/>
  <c r="L48" i="107"/>
  <c r="K50" i="107"/>
  <c r="L50" i="107" s="1"/>
  <c r="F53" i="107"/>
  <c r="I10" i="84" s="1"/>
  <c r="I16" i="84"/>
  <c r="F51" i="107"/>
  <c r="I8" i="84" s="1"/>
  <c r="I14" i="84"/>
  <c r="F49" i="107"/>
  <c r="I15" i="84"/>
  <c r="F52" i="107"/>
  <c r="I9" i="84" s="1"/>
  <c r="I13" i="84"/>
  <c r="K49" i="107"/>
  <c r="L49" i="107" s="1"/>
  <c r="K53" i="107"/>
  <c r="L53" i="107" s="1"/>
  <c r="K51" i="107"/>
  <c r="L51" i="107" s="1"/>
  <c r="K52" i="107"/>
  <c r="L52" i="107" s="1"/>
  <c r="G12" i="85"/>
  <c r="J12" i="85" s="1"/>
  <c r="F11" i="92"/>
  <c r="G64" i="83"/>
  <c r="B14" i="92"/>
  <c r="E50" i="93"/>
  <c r="L11" i="92"/>
  <c r="H7" i="84" l="1"/>
  <c r="J7" i="84"/>
  <c r="G56" i="85"/>
  <c r="J56" i="85" s="1"/>
  <c r="E60" i="93"/>
  <c r="F7" i="84"/>
  <c r="E7" i="84"/>
  <c r="F10" i="84"/>
  <c r="E10" i="84"/>
  <c r="M7" i="84"/>
  <c r="K20" i="84"/>
  <c r="G10" i="84"/>
  <c r="E8" i="84"/>
  <c r="D8" i="84"/>
  <c r="G8" i="84"/>
  <c r="E9" i="84"/>
  <c r="D9" i="84"/>
  <c r="F9" i="84"/>
  <c r="D22" i="84"/>
  <c r="E22" i="84"/>
  <c r="C23" i="84"/>
  <c r="H22" i="84"/>
  <c r="H8" i="84"/>
  <c r="H10" i="84"/>
  <c r="J22" i="84"/>
  <c r="I23" i="84"/>
  <c r="K22" i="84"/>
  <c r="H9" i="84"/>
  <c r="N22" i="84"/>
  <c r="M22" i="84"/>
  <c r="L23" i="84"/>
  <c r="D9" i="93"/>
  <c r="E9" i="93"/>
  <c r="G38" i="85"/>
  <c r="J38" i="85" s="1"/>
  <c r="G49" i="85"/>
  <c r="J49" i="85" s="1"/>
  <c r="G54" i="85"/>
  <c r="J54" i="85" s="1"/>
  <c r="G53" i="85"/>
  <c r="J53" i="85" s="1"/>
  <c r="E55" i="93"/>
  <c r="G16" i="85"/>
  <c r="J16" i="85" s="1"/>
  <c r="M9" i="84"/>
  <c r="N8" i="84"/>
  <c r="G15" i="85"/>
  <c r="J15" i="85" s="1"/>
  <c r="G14" i="85"/>
  <c r="J14" i="85" s="1"/>
  <c r="M13" i="84"/>
  <c r="M10" i="84"/>
  <c r="G35" i="85"/>
  <c r="E8" i="93"/>
  <c r="D8" i="93"/>
  <c r="E59" i="93"/>
  <c r="B63" i="93"/>
  <c r="C68" i="93" s="1"/>
  <c r="E58" i="93"/>
  <c r="M6" i="84"/>
  <c r="N14" i="84"/>
  <c r="M16" i="84"/>
  <c r="K29" i="84"/>
  <c r="J29" i="84"/>
  <c r="J13" i="84"/>
  <c r="K13" i="84"/>
  <c r="K9" i="84"/>
  <c r="G6" i="93" s="1"/>
  <c r="J9" i="84"/>
  <c r="F6" i="93" s="1"/>
  <c r="J15" i="84"/>
  <c r="F13" i="93" s="1"/>
  <c r="K15" i="84"/>
  <c r="G13" i="93" s="1"/>
  <c r="I6" i="84"/>
  <c r="J14" i="84"/>
  <c r="K14" i="84"/>
  <c r="K8" i="84"/>
  <c r="J8" i="84"/>
  <c r="J16" i="84"/>
  <c r="K16" i="84"/>
  <c r="K10" i="84"/>
  <c r="J10" i="84"/>
  <c r="D54" i="107"/>
  <c r="D44" i="107"/>
  <c r="D46" i="107" s="1"/>
  <c r="C11" i="84"/>
  <c r="B7" i="93" s="1"/>
  <c r="G67" i="83"/>
  <c r="G39" i="85" s="1"/>
  <c r="J39" i="85" s="1"/>
  <c r="D10" i="91"/>
  <c r="D11" i="91" s="1"/>
  <c r="E69" i="87"/>
  <c r="J35" i="85" l="1"/>
  <c r="G55" i="85"/>
  <c r="J55" i="85" s="1"/>
  <c r="D24" i="91"/>
  <c r="D34" i="91" s="1"/>
  <c r="D31" i="91"/>
  <c r="G19" i="85" s="1"/>
  <c r="E23" i="84"/>
  <c r="D23" i="84"/>
  <c r="F23" i="84"/>
  <c r="H23" i="84"/>
  <c r="M23" i="84"/>
  <c r="N23" i="84"/>
  <c r="J23" i="84"/>
  <c r="K23" i="84"/>
  <c r="D33" i="91"/>
  <c r="G21" i="85" s="1"/>
  <c r="J21" i="85" s="1"/>
  <c r="J17" i="85"/>
  <c r="D13" i="91"/>
  <c r="D32" i="91" s="1"/>
  <c r="B5" i="92"/>
  <c r="D6" i="92" s="1"/>
  <c r="F8" i="92" s="1"/>
  <c r="H9" i="92" s="1"/>
  <c r="G17" i="85"/>
  <c r="C63" i="93"/>
  <c r="C64" i="93"/>
  <c r="C65" i="93"/>
  <c r="C66" i="93"/>
  <c r="C67" i="93"/>
  <c r="C69" i="93"/>
  <c r="C70" i="93"/>
  <c r="K6" i="84"/>
  <c r="J6" i="84"/>
  <c r="K44" i="107"/>
  <c r="K46" i="107" s="1"/>
  <c r="H44" i="107"/>
  <c r="H46" i="107" s="1"/>
  <c r="F44" i="107"/>
  <c r="F46" i="107" s="1"/>
  <c r="B10" i="93"/>
  <c r="D10" i="93" s="1"/>
  <c r="E57" i="87"/>
  <c r="E70" i="87" s="1"/>
  <c r="E72" i="87" s="1"/>
  <c r="E6" i="79"/>
  <c r="F8" i="79" s="1"/>
  <c r="G27" i="79" s="1"/>
  <c r="G29" i="79" s="1"/>
  <c r="G31" i="79" s="1"/>
  <c r="F11" i="84"/>
  <c r="G57" i="85" s="1"/>
  <c r="J57" i="85" s="1"/>
  <c r="D11" i="84"/>
  <c r="C7" i="93" s="1"/>
  <c r="H11" i="84"/>
  <c r="G11" i="84"/>
  <c r="E11" i="84"/>
  <c r="E44" i="93" l="1"/>
  <c r="G58" i="85"/>
  <c r="J58" i="85" s="1"/>
  <c r="E42" i="93"/>
  <c r="D7" i="93"/>
  <c r="E43" i="93"/>
  <c r="E7" i="93"/>
  <c r="G20" i="85"/>
  <c r="J20" i="85" s="1"/>
  <c r="D26" i="91"/>
  <c r="I17" i="84"/>
  <c r="F54" i="107"/>
  <c r="I11" i="84" s="1"/>
  <c r="G6" i="106" s="1"/>
  <c r="L17" i="84"/>
  <c r="H54" i="107"/>
  <c r="L11" i="84" s="1"/>
  <c r="L44" i="107"/>
  <c r="K54" i="107"/>
  <c r="L54" i="107" s="1"/>
  <c r="J19" i="85"/>
  <c r="C10" i="93"/>
  <c r="E10" i="93"/>
  <c r="E54" i="93" l="1"/>
  <c r="F6" i="106"/>
  <c r="E6" i="106"/>
  <c r="I6" i="106"/>
  <c r="H6" i="106"/>
  <c r="G9" i="106"/>
  <c r="G7" i="106"/>
  <c r="G11" i="106"/>
  <c r="G8" i="106"/>
  <c r="G10" i="106"/>
  <c r="M11" i="84"/>
  <c r="N11" i="84"/>
  <c r="L18" i="84"/>
  <c r="N17" i="84"/>
  <c r="M17" i="84"/>
  <c r="J11" i="84"/>
  <c r="F7" i="93" s="1"/>
  <c r="K11" i="84"/>
  <c r="G7" i="93" s="1"/>
  <c r="I18" i="84"/>
  <c r="J17" i="84"/>
  <c r="K17" i="84"/>
  <c r="I9" i="106" l="1"/>
  <c r="I7" i="106"/>
  <c r="I8" i="106"/>
  <c r="I11" i="106"/>
  <c r="I10" i="106"/>
  <c r="E9" i="106"/>
  <c r="E8" i="106"/>
  <c r="E7" i="106"/>
  <c r="E11" i="106"/>
  <c r="E10" i="106"/>
  <c r="H9" i="106"/>
  <c r="H7" i="106"/>
  <c r="H11" i="106"/>
  <c r="H10" i="106"/>
  <c r="H8" i="106"/>
  <c r="F9" i="106"/>
  <c r="F7" i="106"/>
  <c r="F10" i="106"/>
  <c r="F11" i="106"/>
  <c r="F8" i="106"/>
  <c r="N18" i="84"/>
  <c r="M18" i="84"/>
  <c r="J18" i="84"/>
  <c r="F14" i="93" s="1"/>
  <c r="K18" i="84"/>
  <c r="G14" i="9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B6" authorId="0" shapeId="0" xr:uid="{7569B7D9-54E0-47A3-9F23-68FEB57BC898}">
      <text>
        <r>
          <rPr>
            <b/>
            <sz val="9"/>
            <color indexed="81"/>
            <rFont val="Tahoma"/>
            <family val="2"/>
          </rPr>
          <t>Kevin J Bernhardt:</t>
        </r>
        <r>
          <rPr>
            <sz val="9"/>
            <color indexed="81"/>
            <rFont val="Tahoma"/>
            <family val="2"/>
          </rPr>
          <t xml:space="preserve">
This will be used in calculating costs of production and for several headings throughout the spreadsheet.  Click on the cell to see the menu button (small square button to the right of the cell with a down arrow).  Click on the menu button and highlight your choice of primary product produced and sold.</t>
        </r>
      </text>
    </comment>
    <comment ref="B10" authorId="0" shapeId="0" xr:uid="{D7C41305-A0BD-49F5-B727-6238476554E1}">
      <text>
        <r>
          <rPr>
            <b/>
            <sz val="9"/>
            <color indexed="81"/>
            <rFont val="Tahoma"/>
            <family val="2"/>
          </rPr>
          <t xml:space="preserve">Kevin J Bernhardt:
</t>
        </r>
        <r>
          <rPr>
            <sz val="9"/>
            <color indexed="81"/>
            <rFont val="Tahoma"/>
            <family val="2"/>
          </rPr>
          <t>Leave blank any lines that are not applicable.</t>
        </r>
      </text>
    </comment>
    <comment ref="B16" authorId="0" shapeId="0" xr:uid="{92435E83-9505-4632-8F08-899CFCB40734}">
      <text>
        <r>
          <rPr>
            <b/>
            <sz val="9"/>
            <color indexed="81"/>
            <rFont val="Tahoma"/>
            <family val="2"/>
          </rPr>
          <t>Kevin J Bernhardt:</t>
        </r>
        <r>
          <rPr>
            <sz val="9"/>
            <color indexed="81"/>
            <rFont val="Tahoma"/>
            <family val="2"/>
          </rPr>
          <t xml:space="preserve">
Actual sales may be more or less in any given year due to sales of stored grain or putting harvested grain into storage.  </t>
        </r>
      </text>
    </comment>
    <comment ref="B22" authorId="0" shapeId="0" xr:uid="{07CDCCC4-12F6-4DA2-A4AF-E7B7C3E66C9E}">
      <text>
        <r>
          <rPr>
            <b/>
            <sz val="9"/>
            <color indexed="81"/>
            <rFont val="Tahoma"/>
            <family val="2"/>
          </rPr>
          <t>Kevin J Bernhardt:</t>
        </r>
        <r>
          <rPr>
            <sz val="9"/>
            <color indexed="81"/>
            <rFont val="Tahoma"/>
            <family val="2"/>
          </rPr>
          <t xml:space="preserve">
Actual sales may be more or less in any given year due to sales of stored grain or putting harvested grain into storage.  </t>
        </r>
      </text>
    </comment>
    <comment ref="B49" authorId="0" shapeId="0" xr:uid="{7B09052E-3A6D-4105-91DE-A444F777075B}">
      <text>
        <r>
          <rPr>
            <b/>
            <sz val="9"/>
            <color indexed="81"/>
            <rFont val="Tahoma"/>
            <family val="2"/>
          </rPr>
          <t>Kevin J Bernhardt:</t>
        </r>
        <r>
          <rPr>
            <sz val="9"/>
            <color indexed="81"/>
            <rFont val="Tahoma"/>
            <family val="2"/>
          </rPr>
          <t xml:space="preserve">
This should be comparable to cash sales shown on Schedule F.</t>
        </r>
      </text>
    </comment>
    <comment ref="B56" authorId="0" shapeId="0" xr:uid="{4CF1A221-CF11-475C-BEB9-DCB16A8D1AF3}">
      <text>
        <r>
          <rPr>
            <b/>
            <sz val="9"/>
            <color indexed="81"/>
            <rFont val="Tahoma"/>
            <family val="2"/>
          </rPr>
          <t>Kevin J Bernhardt:</t>
        </r>
        <r>
          <rPr>
            <sz val="9"/>
            <color indexed="81"/>
            <rFont val="Tahoma"/>
            <family val="2"/>
          </rPr>
          <t xml:space="preserve">
Loss Carryover is operating loans that were unable to be paid and have been restructured into amortized term loans.</t>
        </r>
      </text>
    </comment>
    <comment ref="B57" authorId="0" shapeId="0" xr:uid="{2FA8CC6C-9953-40FC-B8CF-8EDE5201238B}">
      <text>
        <r>
          <rPr>
            <b/>
            <sz val="9"/>
            <color indexed="81"/>
            <rFont val="Tahoma"/>
            <family val="2"/>
          </rPr>
          <t>Kevin J Bernhardt:</t>
        </r>
        <r>
          <rPr>
            <sz val="9"/>
            <color indexed="81"/>
            <rFont val="Tahoma"/>
            <family val="2"/>
          </rPr>
          <t xml:space="preserve">
     Capital leases payments are for capital assets under a long-term lease arrangement with the option to purchase the asset at the conclusion of the lease.
     Note, this does not apply to typical land or building rental leases.</t>
        </r>
      </text>
    </comment>
    <comment ref="B64" authorId="0" shapeId="0" xr:uid="{9D3B78A6-AF0B-4C3A-A127-8C543C9BB4D5}">
      <text>
        <r>
          <rPr>
            <b/>
            <sz val="9"/>
            <color indexed="81"/>
            <rFont val="Tahoma"/>
            <family val="2"/>
          </rPr>
          <t>Kevin J Bernhardt:</t>
        </r>
        <r>
          <rPr>
            <sz val="9"/>
            <color indexed="81"/>
            <rFont val="Tahoma"/>
            <family val="2"/>
          </rPr>
          <t xml:space="preserve">
Total of all withdrawals by owners from the business including unpaid labor and management and all other withdrawals in excess of that needed to cover unpaid labor and management.</t>
        </r>
      </text>
    </comment>
    <comment ref="B67" authorId="0" shapeId="0" xr:uid="{AE98F638-DBC9-46A0-BF12-384A5240185E}">
      <text>
        <r>
          <rPr>
            <b/>
            <sz val="9"/>
            <color indexed="81"/>
            <rFont val="Tahoma"/>
            <family val="2"/>
          </rPr>
          <t>Kevin J Bernhardt:</t>
        </r>
        <r>
          <rPr>
            <sz val="9"/>
            <color indexed="81"/>
            <rFont val="Tahoma"/>
            <family val="2"/>
          </rPr>
          <t xml:space="preserve">
Full-time equivalent (FTE) is based on the percent of time each owner is giving of their labor and management to the business.  An owner that is giving half-time is .50.</t>
        </r>
      </text>
    </comment>
    <comment ref="B71" authorId="0" shapeId="0" xr:uid="{E15861FE-C360-46FD-A398-CD8EF1858CB5}">
      <text>
        <r>
          <rPr>
            <b/>
            <sz val="9"/>
            <color indexed="81"/>
            <rFont val="Tahoma"/>
            <family val="2"/>
          </rPr>
          <t>Kevin J Bernhardt:</t>
        </r>
        <r>
          <rPr>
            <sz val="9"/>
            <color indexed="81"/>
            <rFont val="Tahoma"/>
            <family val="2"/>
          </rPr>
          <t xml:space="preserve">
     Unpaid labor and management is an estimate of the value of any labor and management services provided by owner(s) that is unpaid.  This will be used in calculations to fully account for labor and management costs of production.  Note, while it could be, the estimate is not the same as owner withdrawal. 
     The estimate is based on valuing labor as the FTE amount provided by owners multiplied by $25,000 plus value for management calculated as a percent of total revenues.  The amount that is actually paid to owners is then subtracted from the estimated total value of labor and management to arrive at the unpaid amount.  
     Unpaid management is a percent (usually 4%-5%) of total revenues.  
     Note, values must be entered in the previous lines to make this calculation.
</t>
        </r>
      </text>
    </comment>
    <comment ref="B73" authorId="0" shapeId="0" xr:uid="{2A18EEA2-002C-4984-A066-0F23C83CE918}">
      <text>
        <r>
          <rPr>
            <b/>
            <sz val="9"/>
            <color indexed="81"/>
            <rFont val="Tahoma"/>
            <family val="2"/>
          </rPr>
          <t>Kevin J Bernhardt:</t>
        </r>
        <r>
          <rPr>
            <sz val="9"/>
            <color indexed="81"/>
            <rFont val="Tahoma"/>
            <family val="2"/>
          </rPr>
          <t xml:space="preserve">
     One sources for capital asset sales information is tax form 4797 (Sale of Business Assets).  From form 4797 sum the following for gross sales:
        - Part I, line 2, column d 
        - Part II, line 10, column d 
        - Part III, line 20 
     Note, if looking for a specific type of capital asset such as machinery, raised breeding livestock, etc., then be sure to only sum information for sales of those specific types of assets.
     Note, raised breeding livestock sales will only be from Parts I and II.  </t>
        </r>
      </text>
    </comment>
    <comment ref="B87" authorId="0" shapeId="0" xr:uid="{23CB2D5B-C14F-4484-9DF0-C2518E2447AB}">
      <text>
        <r>
          <rPr>
            <b/>
            <sz val="9"/>
            <color indexed="81"/>
            <rFont val="Tahoma"/>
            <family val="2"/>
          </rPr>
          <t>Kevin J Bernhardt:</t>
        </r>
        <r>
          <rPr>
            <sz val="9"/>
            <color indexed="81"/>
            <rFont val="Tahoma"/>
            <family val="2"/>
          </rPr>
          <t xml:space="preserve">
     The following are estimates of the owner's portion or contribution to capital asset purchases.  This is the cash amount provided by the owners, sometimes referred to as the down-payment.  
     Note, the trade-in value is considered part of the owner's contribution.  For example a trade-in of $75,000 plus $25,000 additional cash provided by the owner would be $100,000 for the owner's portion of capital asset replacement.
     If not known from farm records, below are three estimates of potential owner contribution.</t>
        </r>
      </text>
    </comment>
    <comment ref="B88" authorId="0" shapeId="0" xr:uid="{E15EC96B-9A45-4DD2-847F-446560C51C57}">
      <text>
        <r>
          <rPr>
            <b/>
            <sz val="9"/>
            <color indexed="81"/>
            <rFont val="Tahoma"/>
            <family val="2"/>
          </rPr>
          <t>Kevin J Bernhardt:</t>
        </r>
        <r>
          <rPr>
            <sz val="9"/>
            <color indexed="81"/>
            <rFont val="Tahoma"/>
            <family val="2"/>
          </rPr>
          <t xml:space="preserve">
     Use the estimates below, or your own records, to enter the amount of capital asset purchases that was financed by the owners (down-payment) versus the other portion that was financed by debt (loan) financing.
     Note, it is important to complete this entry as Repayment and Replacement ratios will use this value in their calculations.</t>
        </r>
      </text>
    </comment>
    <comment ref="B89" authorId="0" shapeId="0" xr:uid="{72A98255-F7EF-43C6-9D0D-DB95502850E1}">
      <text>
        <r>
          <rPr>
            <b/>
            <sz val="9"/>
            <color indexed="81"/>
            <rFont val="Tahoma"/>
            <family val="2"/>
          </rPr>
          <t>Kevin J Bernhardt:</t>
        </r>
        <r>
          <rPr>
            <sz val="9"/>
            <color indexed="81"/>
            <rFont val="Tahoma"/>
            <family val="2"/>
          </rPr>
          <t xml:space="preserve">
     Value can be found on the 'Capital Lease Schedule' tab if that tab was used, else from farm records. 
     Note, this value does NOT include on-going lease payments, just the initial or advanced payment in the year when a new finance lease begins.</t>
        </r>
      </text>
    </comment>
    <comment ref="B90" authorId="0" shapeId="0" xr:uid="{88928CB7-09E0-47A9-94A5-0D0D4237B6FE}">
      <text>
        <r>
          <rPr>
            <b/>
            <sz val="9"/>
            <color indexed="81"/>
            <rFont val="Tahoma"/>
            <family val="2"/>
          </rPr>
          <t>Kevin J Bernhardt:</t>
        </r>
        <r>
          <rPr>
            <sz val="9"/>
            <color indexed="81"/>
            <rFont val="Tahoma"/>
            <family val="2"/>
          </rPr>
          <t xml:space="preserve">
     Difference is estimate of the portion of capital asset purchases that were financed by owners.  Note, trade-ins are considered capital provided by owners in this calculation.
     A negative number means that term loans were used to finance something other than capital asset purchases, for example, refinancing.</t>
        </r>
      </text>
    </comment>
    <comment ref="B92" authorId="0" shapeId="0" xr:uid="{4D9F3DBF-B9CE-4C5D-86C7-76526B30F0BD}">
      <text>
        <r>
          <rPr>
            <b/>
            <sz val="9"/>
            <color indexed="81"/>
            <rFont val="Tahoma"/>
            <family val="2"/>
          </rPr>
          <t>Kevin J Bernhardt:</t>
        </r>
        <r>
          <rPr>
            <sz val="9"/>
            <color indexed="81"/>
            <rFont val="Tahoma"/>
            <family val="2"/>
          </rPr>
          <t xml:space="preserve">
Estimates 2 and 3 are estimates of what a farm business "ought" to be targeting for asset replacement.  Multiplied by the percent financed by owners provides an estimate of Owner's portion of capital asset replacement.  </t>
        </r>
      </text>
    </comment>
    <comment ref="B93" authorId="0" shapeId="0" xr:uid="{F2DD75F9-B43C-44F2-9B3E-9875D805EF54}">
      <text>
        <r>
          <rPr>
            <b/>
            <sz val="9"/>
            <color indexed="81"/>
            <rFont val="Tahoma"/>
            <family val="2"/>
          </rPr>
          <t>Kevin J Bernhardt:</t>
        </r>
        <r>
          <rPr>
            <sz val="9"/>
            <color indexed="81"/>
            <rFont val="Tahoma"/>
            <family val="2"/>
          </rPr>
          <t xml:space="preserve">
Estimates 2 and 3 are estimates of what a farm business "ought" to be targeting for asset replacement.  Multiplied by the percent financed by owners provides an estimate of Owner's portion of capital asset replacement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E4" authorId="0" shapeId="0" xr:uid="{0961D7B1-4E4D-4BDB-9871-0D80604940F0}">
      <text>
        <r>
          <rPr>
            <b/>
            <sz val="9"/>
            <color indexed="81"/>
            <rFont val="Tahoma"/>
            <family val="2"/>
          </rPr>
          <t>Kevin J Bernhardt:</t>
        </r>
        <r>
          <rPr>
            <sz val="9"/>
            <color indexed="81"/>
            <rFont val="Tahoma"/>
            <family val="2"/>
          </rPr>
          <t xml:space="preserve">
"% of Total Revenue" shown above was this year's total cash revenue from the primary product divided by overall farm total cash revenue.  It is a benchmark for the percent of each individual items portion associated with the primary product.</t>
        </r>
      </text>
    </comment>
    <comment ref="G4" authorId="0" shapeId="0" xr:uid="{76D0D871-54A9-435C-9A5D-0D0CDC95BCD2}">
      <text>
        <r>
          <rPr>
            <b/>
            <sz val="9"/>
            <color indexed="81"/>
            <rFont val="Tahoma"/>
            <family val="2"/>
          </rPr>
          <t>Kevin J Bernhardt:</t>
        </r>
        <r>
          <rPr>
            <sz val="9"/>
            <color indexed="81"/>
            <rFont val="Tahoma"/>
            <family val="2"/>
          </rPr>
          <t xml:space="preserve">
"% of Total Revenue" shown above was this year's total cash revenue from the secondary product divided by overall farm total cash revenue.  It is a benchmark for the percent of each individual items portion associated with the secondary product.</t>
        </r>
      </text>
    </comment>
    <comment ref="C32" authorId="0" shapeId="0" xr:uid="{B8186D6B-007E-459C-A90C-E4004D5D924A}">
      <text>
        <r>
          <rPr>
            <b/>
            <sz val="9"/>
            <color indexed="81"/>
            <rFont val="Tahoma"/>
            <family val="2"/>
          </rPr>
          <t>Kevin J Bernhardt:</t>
        </r>
        <r>
          <rPr>
            <sz val="9"/>
            <color indexed="81"/>
            <rFont val="Tahoma"/>
            <family val="2"/>
          </rPr>
          <t xml:space="preserve">
Use Tax Depreciation for Cash Income Statement and Economic Depreciation for Accrual Income Statement. </t>
        </r>
      </text>
    </comment>
    <comment ref="D32" authorId="0" shapeId="0" xr:uid="{D9DEF9FA-28FB-4F5F-9C93-9DD04D17054D}">
      <text>
        <r>
          <rPr>
            <b/>
            <sz val="9"/>
            <color indexed="81"/>
            <rFont val="Tahoma"/>
            <family val="2"/>
          </rPr>
          <t>Kevin J Bernhardt:</t>
        </r>
        <r>
          <rPr>
            <sz val="9"/>
            <color indexed="81"/>
            <rFont val="Tahoma"/>
            <family val="2"/>
          </rPr>
          <t xml:space="preserve">
The best estimate for economic depreciation is the total from a full depreciation schedule of all assets.  If that is not available then IS Schedule 3 provides an estimates based on asset replacement.  </t>
        </r>
      </text>
    </comment>
    <comment ref="C35" authorId="0" shapeId="0" xr:uid="{EA291BA7-040B-4841-A842-2BBDE5AF7674}">
      <text>
        <r>
          <rPr>
            <b/>
            <sz val="9"/>
            <color indexed="81"/>
            <rFont val="Tahoma"/>
            <family val="2"/>
          </rPr>
          <t>Kevin J Bernhardt:</t>
        </r>
        <r>
          <rPr>
            <sz val="9"/>
            <color indexed="81"/>
            <rFont val="Tahoma"/>
            <family val="2"/>
          </rPr>
          <t xml:space="preserve">
Includes depreciation, does not include interest.</t>
        </r>
      </text>
    </comment>
    <comment ref="C38" authorId="0" shapeId="0" xr:uid="{56158440-FF6B-48DB-8E21-B43910F89A0C}">
      <text>
        <r>
          <rPr>
            <b/>
            <sz val="9"/>
            <color indexed="81"/>
            <rFont val="Tahoma"/>
            <family val="2"/>
          </rPr>
          <t>Kevin J Bernhardt:</t>
        </r>
        <r>
          <rPr>
            <sz val="9"/>
            <color indexed="81"/>
            <rFont val="Tahoma"/>
            <family val="2"/>
          </rPr>
          <t xml:space="preserve">
This value should include any interest on carryover operating debt (aka: Loss Carryover).  Loss Carryover is operating debt that was unpaid and restructured into a term loan.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I1" authorId="0" shapeId="0" xr:uid="{3370F674-6A83-47A4-B02B-584F92546616}">
      <text>
        <r>
          <rPr>
            <b/>
            <sz val="9"/>
            <color indexed="81"/>
            <rFont val="Tahoma"/>
            <family val="2"/>
          </rPr>
          <t>Kevin J Bernhardt:</t>
        </r>
        <r>
          <rPr>
            <sz val="9"/>
            <color indexed="81"/>
            <rFont val="Tahoma"/>
            <family val="2"/>
          </rPr>
          <t xml:space="preserve">
Estimates from 'Estimating Costs of Production' tab.</t>
        </r>
      </text>
    </comment>
    <comment ref="D4" authorId="0" shapeId="0" xr:uid="{A8B41777-F122-417E-99EF-1718C6080A70}">
      <text>
        <r>
          <rPr>
            <b/>
            <sz val="9"/>
            <color indexed="81"/>
            <rFont val="Tahoma"/>
            <family val="2"/>
          </rPr>
          <t>Kevin J Bernhardt:</t>
        </r>
        <r>
          <rPr>
            <sz val="9"/>
            <color indexed="81"/>
            <rFont val="Tahoma"/>
            <family val="2"/>
          </rPr>
          <t xml:space="preserve">
Number of production units (cows, acres, head).</t>
        </r>
      </text>
    </comment>
    <comment ref="E4" authorId="0" shapeId="0" xr:uid="{E5796074-B831-4C8B-9B74-B79110D1A7D2}">
      <text>
        <r>
          <rPr>
            <b/>
            <sz val="9"/>
            <color indexed="81"/>
            <rFont val="Tahoma"/>
            <family val="2"/>
          </rPr>
          <t>Kevin J Bernhardt:</t>
        </r>
        <r>
          <rPr>
            <sz val="9"/>
            <color indexed="81"/>
            <rFont val="Tahoma"/>
            <family val="2"/>
          </rPr>
          <t xml:space="preserve">
Number of sales units (hundredweight, bushels, lbs).</t>
        </r>
      </text>
    </comment>
    <comment ref="F4" authorId="0" shapeId="0" xr:uid="{A8C262D2-F770-458A-8C67-76F848AFDF28}">
      <text>
        <r>
          <rPr>
            <b/>
            <sz val="9"/>
            <color indexed="81"/>
            <rFont val="Tahoma"/>
            <family val="2"/>
          </rPr>
          <t>Kevin J Bernhardt:</t>
        </r>
        <r>
          <rPr>
            <sz val="9"/>
            <color indexed="81"/>
            <rFont val="Tahoma"/>
            <family val="2"/>
          </rPr>
          <t xml:space="preserve">
     Number of unit equivalent sales units. (hundredweights, bushels, pounds).  This is the number of sales units that would have to be sold to get the same </t>
        </r>
        <r>
          <rPr>
            <b/>
            <u/>
            <sz val="9"/>
            <color indexed="81"/>
            <rFont val="Tahoma"/>
            <family val="2"/>
          </rPr>
          <t>accrual</t>
        </r>
        <r>
          <rPr>
            <sz val="9"/>
            <color indexed="81"/>
            <rFont val="Tahoma"/>
            <family val="2"/>
          </rPr>
          <t xml:space="preserve"> total revenue from just the sale of the primary product only.
     Government payments are not included.</t>
        </r>
      </text>
    </comment>
    <comment ref="G4" authorId="0" shapeId="0" xr:uid="{FDD01A6F-51D7-4ECC-9BA3-76E5FE42D59E}">
      <text>
        <r>
          <rPr>
            <b/>
            <sz val="9"/>
            <color indexed="81"/>
            <rFont val="Tahoma"/>
            <family val="2"/>
          </rPr>
          <t>Kevin J Bernhardt:</t>
        </r>
        <r>
          <rPr>
            <sz val="9"/>
            <color indexed="81"/>
            <rFont val="Tahoma"/>
            <family val="2"/>
          </rPr>
          <t xml:space="preserve">
     Income from sources other than the primary product.
     This value is subtracted from costs to estimate the portion of costs for the primary product only.
     Government payments are not included in the calculation.</t>
        </r>
      </text>
    </comment>
    <comment ref="M4" authorId="0" shapeId="0" xr:uid="{A859F239-45D5-4912-A6DC-0DAE2AD9F18F}">
      <text>
        <r>
          <rPr>
            <b/>
            <sz val="9"/>
            <color indexed="81"/>
            <rFont val="Tahoma"/>
            <family val="2"/>
          </rPr>
          <t>Kevin J Bernhardt:</t>
        </r>
        <r>
          <rPr>
            <sz val="9"/>
            <color indexed="81"/>
            <rFont val="Tahoma"/>
            <family val="2"/>
          </rPr>
          <t xml:space="preserve">
Number of production units (cows, acres, head).</t>
        </r>
      </text>
    </comment>
    <comment ref="N4" authorId="0" shapeId="0" xr:uid="{6F937933-2C91-4FF5-B88B-827CF7B7F6D1}">
      <text>
        <r>
          <rPr>
            <b/>
            <sz val="9"/>
            <color indexed="81"/>
            <rFont val="Tahoma"/>
            <family val="2"/>
          </rPr>
          <t>Kevin J Bernhardt:</t>
        </r>
        <r>
          <rPr>
            <sz val="9"/>
            <color indexed="81"/>
            <rFont val="Tahoma"/>
            <family val="2"/>
          </rPr>
          <t xml:space="preserve">
Number of sales units (hundredweight, bushels, lbs).</t>
        </r>
      </text>
    </comment>
    <comment ref="G5" authorId="0" shapeId="0" xr:uid="{99E87404-1061-4108-B78E-548CEED0FCE1}">
      <text>
        <r>
          <rPr>
            <b/>
            <sz val="9"/>
            <color indexed="81"/>
            <rFont val="Tahoma"/>
            <family val="2"/>
          </rPr>
          <t>Kevin J Bernhardt:</t>
        </r>
        <r>
          <rPr>
            <sz val="9"/>
            <color indexed="81"/>
            <rFont val="Tahoma"/>
            <family val="2"/>
          </rPr>
          <t xml:space="preserve">
This is the percent of estimated primary product sales to total revenue.  The residual claimant method works best when values are greater than 80%. </t>
        </r>
      </text>
    </comment>
    <comment ref="F12" authorId="0" shapeId="0" xr:uid="{B547ED27-8D89-496D-96E0-80C1931E0388}">
      <text>
        <r>
          <rPr>
            <b/>
            <sz val="9"/>
            <color indexed="81"/>
            <rFont val="Tahoma"/>
            <family val="2"/>
          </rPr>
          <t>Kevin J Bernhardt:</t>
        </r>
        <r>
          <rPr>
            <sz val="9"/>
            <color indexed="81"/>
            <rFont val="Tahoma"/>
            <family val="2"/>
          </rPr>
          <t xml:space="preserve">
Number of unit equivalent sales units. (hundredweights, bushels, pounds).  This is the number of sales units that would have to be sold to get the same </t>
        </r>
        <r>
          <rPr>
            <b/>
            <u/>
            <sz val="9"/>
            <color indexed="81"/>
            <rFont val="Tahoma"/>
            <family val="2"/>
          </rPr>
          <t>cash</t>
        </r>
        <r>
          <rPr>
            <sz val="9"/>
            <color indexed="81"/>
            <rFont val="Tahoma"/>
            <family val="2"/>
          </rPr>
          <t xml:space="preserve"> total revenue from just the sale of the primary product only.</t>
        </r>
      </text>
    </comment>
    <comment ref="G12" authorId="0" shapeId="0" xr:uid="{8AB2A7C4-BFE3-4F0A-A26D-4019290F928D}">
      <text>
        <r>
          <rPr>
            <b/>
            <sz val="9"/>
            <color indexed="81"/>
            <rFont val="Tahoma"/>
            <family val="2"/>
          </rPr>
          <t>Kevin J Bernhardt:</t>
        </r>
        <r>
          <rPr>
            <sz val="9"/>
            <color indexed="81"/>
            <rFont val="Tahoma"/>
            <family val="2"/>
          </rPr>
          <t xml:space="preserve">
Income from sources other than the primary product.  The difference from the Accrual value is using total cash revenue in the calculation versus accrual revenue.</t>
        </r>
      </text>
    </comment>
    <comment ref="F27" authorId="0" shapeId="0" xr:uid="{FD125DD7-6AF9-49FF-B9D3-8424AACC64D5}">
      <text>
        <r>
          <rPr>
            <b/>
            <sz val="9"/>
            <color indexed="81"/>
            <rFont val="Tahoma"/>
            <family val="2"/>
          </rPr>
          <t>Kevin J Bernhardt:</t>
        </r>
        <r>
          <rPr>
            <sz val="9"/>
            <color indexed="81"/>
            <rFont val="Tahoma"/>
            <family val="2"/>
          </rPr>
          <t xml:space="preserve">
   If the primary product is the only enterprise using feed, or the more that is the case, then the $ per unitEQ will be understated.</t>
        </r>
      </text>
    </comment>
    <comment ref="F28" authorId="0" shapeId="0" xr:uid="{A8EFC6AE-57A4-4C27-A66D-82FC055F6670}">
      <text>
        <r>
          <rPr>
            <b/>
            <sz val="9"/>
            <color indexed="81"/>
            <rFont val="Tahoma"/>
            <family val="2"/>
          </rPr>
          <t>Kevin J Bernhardt:</t>
        </r>
        <r>
          <rPr>
            <sz val="9"/>
            <color indexed="81"/>
            <rFont val="Tahoma"/>
            <family val="2"/>
          </rPr>
          <t xml:space="preserve">
   If the primary product is the only enterprise using feed, or the more that is the case, then the $ per unitEQ will be understated.</t>
        </r>
      </text>
    </comment>
    <comment ref="F29" authorId="0" shapeId="0" xr:uid="{7996620A-45DD-4B8F-8D93-B6D5DA309BA2}">
      <text>
        <r>
          <rPr>
            <b/>
            <sz val="9"/>
            <color indexed="81"/>
            <rFont val="Tahoma"/>
            <family val="2"/>
          </rPr>
          <t>Kevin J Bernhardt:</t>
        </r>
        <r>
          <rPr>
            <sz val="9"/>
            <color indexed="81"/>
            <rFont val="Tahoma"/>
            <family val="2"/>
          </rPr>
          <t xml:space="preserve">
   If the primary product is the only enterprise using feed, or the more that is the case, then the $ per unitEQ will be understated.</t>
        </r>
      </text>
    </comment>
    <comment ref="H29" authorId="0" shapeId="0" xr:uid="{392C9E7D-AB0E-48BE-8AEB-05F08E1A0561}">
      <text>
        <r>
          <rPr>
            <b/>
            <sz val="9"/>
            <color indexed="81"/>
            <rFont val="Tahoma"/>
            <family val="2"/>
          </rPr>
          <t>Kevin J Bernhardt:</t>
        </r>
        <r>
          <rPr>
            <sz val="9"/>
            <color indexed="81"/>
            <rFont val="Tahoma"/>
            <family val="2"/>
          </rPr>
          <t xml:space="preserve">
Target: 20%-45%</t>
        </r>
      </text>
    </comment>
    <comment ref="B30" authorId="0" shapeId="0" xr:uid="{1DEBF3D6-CC85-423F-B63E-0F7B8DD25DCF}">
      <text>
        <r>
          <rPr>
            <b/>
            <sz val="9"/>
            <color indexed="81"/>
            <rFont val="Tahoma"/>
            <family val="2"/>
          </rPr>
          <t>Kevin J Bernhardt:</t>
        </r>
        <r>
          <rPr>
            <sz val="9"/>
            <color indexed="81"/>
            <rFont val="Tahoma"/>
            <family val="2"/>
          </rPr>
          <t xml:space="preserve">
     Estimate of total feed costs (Purchased Feed + Agronomic) - Sales of Grain including accrual.
     This estimate makes the assumption that the costs of producing cash grain sales equals the sales of the same.  Thus the difference accounts for costs used to grow cash crops versus feed and is an estimate of feed costs.  
     However, if sales is greater than costs of production then this calculation under-reports feed costs.</t>
        </r>
      </text>
    </comment>
    <comment ref="F30" authorId="0" shapeId="0" xr:uid="{B2E038A8-E8A3-4299-81BF-2D9E73B2C450}">
      <text>
        <r>
          <rPr>
            <b/>
            <sz val="9"/>
            <color indexed="81"/>
            <rFont val="Tahoma"/>
            <family val="2"/>
          </rPr>
          <t>Kevin J Bernhardt:</t>
        </r>
        <r>
          <rPr>
            <sz val="9"/>
            <color indexed="81"/>
            <rFont val="Tahoma"/>
            <family val="2"/>
          </rPr>
          <t xml:space="preserve">
   If the primary product is the only enterprise using feed, or the more that is the case, then the $ per unitEQ will be understated.</t>
        </r>
      </text>
    </comment>
    <comment ref="F31" authorId="0" shapeId="0" xr:uid="{0DDC584A-384F-419D-9D77-D8F34D89A2BC}">
      <text>
        <r>
          <rPr>
            <b/>
            <sz val="9"/>
            <color indexed="81"/>
            <rFont val="Tahoma"/>
            <family val="2"/>
          </rPr>
          <t>Kevin J Bernhardt:</t>
        </r>
        <r>
          <rPr>
            <sz val="9"/>
            <color indexed="81"/>
            <rFont val="Tahoma"/>
            <family val="2"/>
          </rPr>
          <t xml:space="preserve">
   If the primary product is the only enterprise using feed, or the more that is the case, then the $ per unitEQ will be understated.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L11" authorId="0" shapeId="0" xr:uid="{EF7A8CA9-EEDA-477D-90E0-0821856D9550}">
      <text>
        <r>
          <rPr>
            <b/>
            <sz val="9"/>
            <color indexed="81"/>
            <rFont val="Tahoma"/>
            <family val="2"/>
          </rPr>
          <t>Kevin J Bernhardt:</t>
        </r>
        <r>
          <rPr>
            <sz val="9"/>
            <color indexed="81"/>
            <rFont val="Tahoma"/>
            <family val="2"/>
          </rPr>
          <t xml:space="preserve">
Note, this is just an estimate based on reducing the value per year by a set percentage.  Reality could be much different especially for any particular line item.</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D5" authorId="0" shapeId="0" xr:uid="{516B1408-9E2F-4A42-A106-B5FE01FE989A}">
      <text>
        <r>
          <rPr>
            <b/>
            <sz val="9"/>
            <color indexed="81"/>
            <rFont val="Tahoma"/>
            <family val="2"/>
          </rPr>
          <t>Kevin J Bernhardt:</t>
        </r>
        <r>
          <rPr>
            <sz val="9"/>
            <color indexed="81"/>
            <rFont val="Tahoma"/>
            <family val="2"/>
          </rPr>
          <t xml:space="preserve">
Breeding livestock sales are NOT included in this line item.  Breeding livestock sales is under investing activities.</t>
        </r>
      </text>
    </comment>
    <comment ref="D39" authorId="0" shapeId="0" xr:uid="{BE5ADC63-05C3-4A93-B74A-585D2B86021E}">
      <text>
        <r>
          <rPr>
            <b/>
            <sz val="9"/>
            <color indexed="81"/>
            <rFont val="Tahoma"/>
            <family val="2"/>
          </rPr>
          <t>Kevin J Bernhardt:</t>
        </r>
        <r>
          <rPr>
            <sz val="9"/>
            <color indexed="81"/>
            <rFont val="Tahoma"/>
            <family val="2"/>
          </rPr>
          <t xml:space="preserve">
Note, payments on leases are part of operating expenses.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oit-bilsa</author>
  </authors>
  <commentList>
    <comment ref="B22" authorId="0" shapeId="0" xr:uid="{00000000-0006-0000-0400-000001000000}">
      <text>
        <r>
          <rPr>
            <b/>
            <sz val="9"/>
            <color indexed="81"/>
            <rFont val="Tahoma"/>
            <family val="2"/>
          </rPr>
          <t>Portion to be received  beyond the current year.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C3" authorId="0" shapeId="0" xr:uid="{5C5C1CA9-E8EB-40C0-9529-61ADDA9EA3E1}">
      <text>
        <r>
          <rPr>
            <b/>
            <sz val="9"/>
            <color indexed="81"/>
            <rFont val="Tahoma"/>
            <family val="2"/>
          </rPr>
          <t>Kevin J Bernhardt:</t>
        </r>
        <r>
          <rPr>
            <sz val="9"/>
            <color indexed="81"/>
            <rFont val="Tahoma"/>
            <family val="2"/>
          </rPr>
          <t xml:space="preserve">
First day of month is assumed.  If it is much closer to the last day of the month then enter the next month.</t>
        </r>
      </text>
    </comment>
    <comment ref="K23" authorId="0" shapeId="0" xr:uid="{14A3A27D-8978-41DC-8F36-D8F857D5F4B4}">
      <text>
        <r>
          <rPr>
            <b/>
            <sz val="9"/>
            <color indexed="81"/>
            <rFont val="Tahoma"/>
            <family val="2"/>
          </rPr>
          <t>Kevin J Bernhardt:</t>
        </r>
        <r>
          <rPr>
            <sz val="9"/>
            <color indexed="81"/>
            <rFont val="Tahoma"/>
            <family val="2"/>
          </rPr>
          <t xml:space="preserve">
Asset value uses the PV of the lease payments as a "Purchase Price" and then deducts accumulated depreciation.</t>
        </r>
      </text>
    </comment>
    <comment ref="N23" authorId="0" shapeId="0" xr:uid="{A1157B6B-DA4F-42BA-B5D1-F518CE57280E}">
      <text>
        <r>
          <rPr>
            <b/>
            <sz val="9"/>
            <color indexed="81"/>
            <rFont val="Tahoma"/>
            <family val="2"/>
          </rPr>
          <t>Kevin J Bernhardt:</t>
        </r>
        <r>
          <rPr>
            <sz val="9"/>
            <color indexed="81"/>
            <rFont val="Tahoma"/>
            <family val="2"/>
          </rPr>
          <t xml:space="preserve">
An alternative by the FFSC is to use the value of total liabilities as the value of the Asset.</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A9" authorId="0" shapeId="0" xr:uid="{B0C63DDA-5592-4F54-8225-9A0DC8E5F00F}">
      <text>
        <r>
          <rPr>
            <b/>
            <sz val="9"/>
            <color indexed="81"/>
            <rFont val="Tahoma"/>
            <family val="2"/>
          </rPr>
          <t>Kevin J Bernhardt:</t>
        </r>
        <r>
          <rPr>
            <sz val="9"/>
            <color indexed="81"/>
            <rFont val="Tahoma"/>
            <family val="2"/>
          </rPr>
          <t xml:space="preserve">
Marketable securities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oit-bilsa</author>
    <author>Kevin J Bernhardt</author>
    <author>User</author>
  </authors>
  <commentList>
    <comment ref="C12" authorId="0" shapeId="0" xr:uid="{00000000-0006-0000-0500-000003000000}">
      <text>
        <r>
          <rPr>
            <sz val="9"/>
            <color indexed="81"/>
            <rFont val="Tahoma"/>
            <family val="2"/>
          </rPr>
          <t xml:space="preserve">    Raised inventory with intent to sell
+  Raised/Grown inventory with intent to feed
+  Purchased inventory with intent to 
    add value and resell</t>
        </r>
      </text>
    </comment>
    <comment ref="C13" authorId="1" shapeId="0" xr:uid="{BD86F4C8-4FF2-4080-A7A0-82F20C81A6D5}">
      <text>
        <r>
          <rPr>
            <b/>
            <sz val="9"/>
            <color indexed="81"/>
            <rFont val="Tahoma"/>
            <family val="2"/>
          </rPr>
          <t>Kevin J Bernhardt:</t>
        </r>
        <r>
          <rPr>
            <sz val="9"/>
            <color indexed="81"/>
            <rFont val="Tahoma"/>
            <family val="2"/>
          </rPr>
          <t xml:space="preserve">
    Purchased feed
+  Prepaid expenses and supplies
+  Direct expenses in a growing crop
 </t>
        </r>
      </text>
    </comment>
    <comment ref="C18" authorId="1" shapeId="0" xr:uid="{90B71C17-18F0-4502-92DB-8290A96D02FE}">
      <text>
        <r>
          <rPr>
            <b/>
            <sz val="9"/>
            <color indexed="81"/>
            <rFont val="Tahoma"/>
            <family val="2"/>
          </rPr>
          <t>Kevin J Bernhardt:</t>
        </r>
        <r>
          <rPr>
            <sz val="9"/>
            <color indexed="81"/>
            <rFont val="Tahoma"/>
            <family val="2"/>
          </rPr>
          <t xml:space="preserve">
Also includes Raised Breeding livestock that has had costs fully capitalized.</t>
        </r>
      </text>
    </comment>
    <comment ref="C20" authorId="0" shapeId="0" xr:uid="{00000000-0006-0000-0500-000007000000}">
      <text>
        <r>
          <rPr>
            <sz val="9"/>
            <color indexed="81"/>
            <rFont val="Tahoma"/>
            <family val="2"/>
          </rPr>
          <t>Portion scheduled to be received  beyond the current year.</t>
        </r>
      </text>
    </comment>
    <comment ref="C38" authorId="1" shapeId="0" xr:uid="{240253C8-C920-448E-9F52-5145E1F0499A}">
      <text>
        <r>
          <rPr>
            <b/>
            <sz val="9"/>
            <color indexed="81"/>
            <rFont val="Tahoma"/>
            <family val="2"/>
          </rPr>
          <t>Kevin J Bernhardt:</t>
        </r>
        <r>
          <rPr>
            <sz val="9"/>
            <color indexed="81"/>
            <rFont val="Tahoma"/>
            <family val="2"/>
          </rPr>
          <t xml:space="preserve">
Loss Carryover is operating loans that have been refinanced as term loans.</t>
        </r>
      </text>
    </comment>
    <comment ref="C40" authorId="2" shapeId="0" xr:uid="{09466A23-0B17-4703-B3C0-4D2EEEF862E1}">
      <text>
        <r>
          <rPr>
            <b/>
            <sz val="9"/>
            <color indexed="81"/>
            <rFont val="Tahoma"/>
            <family val="2"/>
          </rPr>
          <t>User:</t>
        </r>
        <r>
          <rPr>
            <sz val="9"/>
            <color indexed="81"/>
            <rFont val="Tahoma"/>
            <family val="2"/>
          </rPr>
          <t xml:space="preserve">
This also includes any accrued interest on accounts payable and credit cards.</t>
        </r>
      </text>
    </comment>
    <comment ref="C41" authorId="1" shapeId="0" xr:uid="{CC7BDBEF-AA11-44C5-96AC-BCEE3F80C3A5}">
      <text>
        <r>
          <rPr>
            <b/>
            <sz val="9"/>
            <color indexed="81"/>
            <rFont val="Tahoma"/>
            <family val="2"/>
          </rPr>
          <t>Kevin J Bernhardt:</t>
        </r>
        <r>
          <rPr>
            <sz val="9"/>
            <color indexed="81"/>
            <rFont val="Tahoma"/>
            <family val="2"/>
          </rPr>
          <t xml:space="preserve">
Loss Carryover is operating loans that were not paid and have been restructured into term loans.  For this line item, it is the interest on those loans.</t>
        </r>
      </text>
    </comment>
    <comment ref="C43" authorId="1" shapeId="0" xr:uid="{DF8BCEA3-D257-4B6D-A26A-0F305ECE5D4B}">
      <text>
        <r>
          <rPr>
            <b/>
            <sz val="9"/>
            <color indexed="81"/>
            <rFont val="Tahoma"/>
            <family val="2"/>
          </rPr>
          <t>Kevin J Bernhardt:</t>
        </r>
        <r>
          <rPr>
            <sz val="9"/>
            <color indexed="81"/>
            <rFont val="Tahoma"/>
            <family val="2"/>
          </rPr>
          <t xml:space="preserve">
Examples are wages and taxes that are owed, but have not yet been paid.</t>
        </r>
      </text>
    </comment>
    <comment ref="C49" authorId="1" shapeId="0" xr:uid="{0431D65D-6AA1-4E11-92E3-6444B87D3977}">
      <text>
        <r>
          <rPr>
            <b/>
            <sz val="9"/>
            <color indexed="81"/>
            <rFont val="Tahoma"/>
            <family val="2"/>
          </rPr>
          <t>Kevin J Bernhardt:</t>
        </r>
        <r>
          <rPr>
            <sz val="9"/>
            <color indexed="81"/>
            <rFont val="Tahoma"/>
            <family val="2"/>
          </rPr>
          <t xml:space="preserve">
Includes loss carryover loans</t>
        </r>
      </text>
    </comment>
    <comment ref="C56" authorId="1" shapeId="0" xr:uid="{25780387-9AAF-41E4-AEA8-CF4F7BF9841C}">
      <text>
        <r>
          <rPr>
            <b/>
            <sz val="9"/>
            <color indexed="81"/>
            <rFont val="Tahoma"/>
            <family val="2"/>
          </rPr>
          <t>Kevin J Bernhardt:</t>
        </r>
        <r>
          <rPr>
            <sz val="9"/>
            <color indexed="81"/>
            <rFont val="Tahoma"/>
            <family val="2"/>
          </rPr>
          <t xml:space="preserve">
Enter a small "x" if you want Excel to calculate and include deferred taxes.  If not, then leave the yellow-shaded cell blank.</t>
        </r>
      </text>
    </comment>
    <comment ref="D60" authorId="1" shapeId="0" xr:uid="{8721556C-082A-4713-A24F-252178C64BAB}">
      <text>
        <r>
          <rPr>
            <b/>
            <sz val="9"/>
            <color indexed="81"/>
            <rFont val="Tahoma"/>
            <family val="2"/>
          </rPr>
          <t>Kevin J Bernhardt:</t>
        </r>
        <r>
          <rPr>
            <sz val="9"/>
            <color indexed="81"/>
            <rFont val="Tahoma"/>
            <family val="2"/>
          </rPr>
          <t xml:space="preserve">
Calculated as Total Assets minus Total Liabilities.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oit-bilsa</author>
    <author>Kevin J Bernhardt</author>
  </authors>
  <commentList>
    <comment ref="B215" authorId="0" shapeId="0" xr:uid="{00000000-0006-0000-0600-000008000000}">
      <text>
        <r>
          <rPr>
            <b/>
            <sz val="9"/>
            <color indexed="81"/>
            <rFont val="Tahoma"/>
            <family val="2"/>
          </rPr>
          <t>Includes investments in cooperatives, unpaid cooperative dividends, capital leases, other entities, and etc. where conversion to cash is beyond one year.</t>
        </r>
      </text>
    </comment>
    <comment ref="M215" authorId="0" shapeId="0" xr:uid="{7132B776-4560-432A-B2FC-68862F5483F4}">
      <text>
        <r>
          <rPr>
            <b/>
            <sz val="9"/>
            <color indexed="81"/>
            <rFont val="Tahoma"/>
            <family val="2"/>
          </rPr>
          <t>Includes investments in cooperatives, unpaid cooperative dividends, capital leases, other entities, and etc. where conversion to cash is beyond one year.</t>
        </r>
      </text>
    </comment>
    <comment ref="X215" authorId="0" shapeId="0" xr:uid="{4EB3E613-DBED-4E48-BFC7-022C5C882A7F}">
      <text>
        <r>
          <rPr>
            <b/>
            <sz val="9"/>
            <color indexed="81"/>
            <rFont val="Tahoma"/>
            <family val="2"/>
          </rPr>
          <t>Includes investments in cooperatives, unpaid cooperative dividends, capital leases, other entities, and etc. where conversion to cash is beyond one year.</t>
        </r>
      </text>
    </comment>
    <comment ref="I242" authorId="1" shapeId="0" xr:uid="{78A0DB97-1480-499E-A5CC-0CA33D74AB95}">
      <text>
        <r>
          <rPr>
            <b/>
            <sz val="9"/>
            <color indexed="81"/>
            <rFont val="Tahoma"/>
            <family val="2"/>
          </rPr>
          <t>Kevin J Bernhardt:</t>
        </r>
        <r>
          <rPr>
            <sz val="9"/>
            <color indexed="81"/>
            <rFont val="Tahoma"/>
            <family val="2"/>
          </rPr>
          <t xml:space="preserve">
Estimated Accrued interest based on a daily accrual and a 360 day year.</t>
        </r>
      </text>
    </comment>
    <comment ref="I253" authorId="1" shapeId="0" xr:uid="{D5B8D7EC-8E62-4296-995E-5704145BE029}">
      <text>
        <r>
          <rPr>
            <b/>
            <sz val="9"/>
            <color indexed="81"/>
            <rFont val="Tahoma"/>
            <family val="2"/>
          </rPr>
          <t>Kevin J Bernhardt:</t>
        </r>
        <r>
          <rPr>
            <sz val="9"/>
            <color indexed="81"/>
            <rFont val="Tahoma"/>
            <family val="2"/>
          </rPr>
          <t xml:space="preserve">
Estimated Accrued interest based on a daily accrual and a 360 day year.</t>
        </r>
      </text>
    </comment>
    <comment ref="I261" authorId="1" shapeId="0" xr:uid="{7F2B3B15-590E-4FB9-8C20-39B025AC4CD7}">
      <text>
        <r>
          <rPr>
            <b/>
            <sz val="9"/>
            <color indexed="81"/>
            <rFont val="Tahoma"/>
            <family val="2"/>
          </rPr>
          <t>Kevin J Bernhardt:</t>
        </r>
        <r>
          <rPr>
            <sz val="9"/>
            <color indexed="81"/>
            <rFont val="Tahoma"/>
            <family val="2"/>
          </rPr>
          <t xml:space="preserve">
Estimated Accrued interest based on a daily accrual and a 360 day year.</t>
        </r>
      </text>
    </comment>
    <comment ref="H270" authorId="1" shapeId="0" xr:uid="{0E55C348-0DDA-44B8-BA20-E161D8738FE3}">
      <text>
        <r>
          <rPr>
            <b/>
            <sz val="9"/>
            <color indexed="81"/>
            <rFont val="Tahoma"/>
            <family val="2"/>
          </rPr>
          <t>Kevin J Bernhardt:</t>
        </r>
        <r>
          <rPr>
            <sz val="9"/>
            <color indexed="81"/>
            <rFont val="Tahoma"/>
            <family val="2"/>
          </rPr>
          <t xml:space="preserve">
This balance should include any operating loans that have been termed out, that is, payments due beyond the next 12 months. </t>
        </r>
      </text>
    </comment>
    <comment ref="I270" authorId="1" shapeId="0" xr:uid="{FCEBCA7F-0E76-4E9E-8289-5187613E169E}">
      <text>
        <r>
          <rPr>
            <b/>
            <sz val="9"/>
            <color indexed="81"/>
            <rFont val="Tahoma"/>
            <family val="2"/>
          </rPr>
          <t>Kevin J Bernhardt:</t>
        </r>
        <r>
          <rPr>
            <sz val="9"/>
            <color indexed="81"/>
            <rFont val="Tahoma"/>
            <family val="2"/>
          </rPr>
          <t xml:space="preserve">
Estimated Accrued interest based on a daily accrual and a 360 day year.</t>
        </r>
      </text>
    </comment>
    <comment ref="I285" authorId="1" shapeId="0" xr:uid="{C3190D19-8AE6-465C-BB41-6332566D2F86}">
      <text>
        <r>
          <rPr>
            <b/>
            <sz val="9"/>
            <color indexed="81"/>
            <rFont val="Tahoma"/>
            <family val="2"/>
          </rPr>
          <t>Kevin J Bernhardt:</t>
        </r>
        <r>
          <rPr>
            <sz val="9"/>
            <color indexed="81"/>
            <rFont val="Tahoma"/>
            <family val="2"/>
          </rPr>
          <t xml:space="preserve">
Estimated Accrued interest based on a daily accrual and a 360 day year.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Kevin J Bernhardt</author>
    <author>oit-bilsa</author>
  </authors>
  <commentList>
    <comment ref="E3" authorId="0" shapeId="0" xr:uid="{8E525AF6-F1B9-47BF-9570-02810A0DF6EC}">
      <text>
        <r>
          <rPr>
            <b/>
            <sz val="9"/>
            <color indexed="81"/>
            <rFont val="Tahoma"/>
            <family val="2"/>
          </rPr>
          <t>Kevin J Bernhardt:</t>
        </r>
        <r>
          <rPr>
            <sz val="9"/>
            <color indexed="81"/>
            <rFont val="Tahoma"/>
            <family val="2"/>
          </rPr>
          <t xml:space="preserve">
Schedule F tax return</t>
        </r>
      </text>
    </comment>
    <comment ref="G3" authorId="0" shapeId="0" xr:uid="{19A3F100-25DA-44C9-9E57-A731AA5E7042}">
      <text>
        <r>
          <rPr>
            <b/>
            <sz val="9"/>
            <color indexed="81"/>
            <rFont val="Tahoma"/>
            <family val="2"/>
          </rPr>
          <t>Kevin J Bernhardt:</t>
        </r>
        <r>
          <rPr>
            <sz val="9"/>
            <color indexed="81"/>
            <rFont val="Tahoma"/>
            <family val="2"/>
          </rPr>
          <t xml:space="preserve">
     Note, the line items for each revenue and expense DO NOT show the accrual adjustment.  Rather the Cash Income Statement value is carried over to the Accrual Income Statement and the Accrual Adjustments are added or subtracted at the bottom of the revenue and expense sections.  Hedging income is an exception.</t>
        </r>
      </text>
    </comment>
    <comment ref="C5" authorId="1" shapeId="0" xr:uid="{88F32044-96BD-46C8-91BA-1CFA7ADA3079}">
      <text>
        <r>
          <rPr>
            <sz val="9"/>
            <color indexed="81"/>
            <rFont val="Tahoma"/>
            <family val="2"/>
          </rPr>
          <t>Sales revenue of livestock or other items purchased and then later resold.  Do not include breeding livestock here, that goes below.</t>
        </r>
      </text>
    </comment>
    <comment ref="C6" authorId="1" shapeId="0" xr:uid="{2216CB55-C93B-4DE1-B7D7-173DAA557D7F}">
      <text>
        <r>
          <rPr>
            <sz val="9"/>
            <color indexed="81"/>
            <rFont val="Tahoma"/>
            <family val="2"/>
          </rPr>
          <t>Original cost or if depreciated then the adjusted basis.</t>
        </r>
      </text>
    </comment>
    <comment ref="C8" authorId="1" shapeId="0" xr:uid="{466D933B-7728-4134-9FC0-11A3593581C9}">
      <text>
        <r>
          <rPr>
            <sz val="9"/>
            <color indexed="81"/>
            <rFont val="Tahoma"/>
            <family val="2"/>
          </rPr>
          <t>Total from schedule F, line 2.  Do not include raised or purchased breeding livestock sales here, it goes below in row titled "Sales of breeding livestock, raised &amp; purchased"</t>
        </r>
      </text>
    </comment>
    <comment ref="C15" authorId="0" shapeId="0" xr:uid="{1DB83C0B-D9B0-49CD-9D7E-8161A27478B2}">
      <text>
        <r>
          <rPr>
            <b/>
            <sz val="9"/>
            <color indexed="81"/>
            <rFont val="Tahoma"/>
            <family val="2"/>
          </rPr>
          <t>Kevin J Bernhardt:</t>
        </r>
        <r>
          <rPr>
            <sz val="9"/>
            <color indexed="81"/>
            <rFont val="Tahoma"/>
            <family val="2"/>
          </rPr>
          <t xml:space="preserve">
     This can be found on tax form 4797 by summing all breeding livestock sales (raised and purchased).  Search and sum breeding livestock sales on:
             Part I, line 2, column g (raised and purchased), 
             Part II, line 10, column g (raised and purchased), and
             Part III, line 24 (purchased)
     Note 1:  In each of those parts there likely will be other types of capital asset sales (machinery, etc.), so just look for the breeding livestock sales only.
     Note 2:  This information provides sales value less cost basis and other selling expenses for purchased breeding livestock and sales value less selling expenses only for raised breeding livestock.  Accrual adjustments (line 18) will include any change in value due to changing number of raised breeding inventory.
     Note 3:  If there are unusual breeding livestock sales (liquidation, material downsizing, etc.) then those sales beyond normal recurring operations should be reported in line 58 (Gain/Loss from Capital Asset Sales).  </t>
        </r>
      </text>
    </comment>
    <comment ref="C16" authorId="0" shapeId="0" xr:uid="{8AE7259F-9E71-478C-BCC9-1784163DA02C}">
      <text>
        <r>
          <rPr>
            <b/>
            <sz val="9"/>
            <color indexed="81"/>
            <rFont val="Tahoma"/>
            <family val="2"/>
          </rPr>
          <t>Kevin J Bernhardt:</t>
        </r>
        <r>
          <rPr>
            <sz val="9"/>
            <color indexed="81"/>
            <rFont val="Tahoma"/>
            <family val="2"/>
          </rPr>
          <t xml:space="preserve">
     Use Income Statement Schedule 1 on the 'IS Schedules' tab to determine Hedging Income.
     Schedule 1 uses the alternative method recommended by FFSC for valuing Hedging Income, which is the formula (Withdrawals - Deposits) + (End BS - Beg BS).  
     Note, for accrual income statement, the ending and beginning balance sheet values include the marked-to-market value of open positions.  The cash income statement does not include the marked-to-market equity value.
     Also, the withdrawals and deposits are those made by the farmer/owner from or to the brokerage account, not any withdrawals or deposits from the exchange (those will be captured in the ending minus beginning BS values).
     Note: hedging income could be a negative number. 
     </t>
        </r>
      </text>
    </comment>
    <comment ref="C18" authorId="1" shapeId="0" xr:uid="{28BBB516-22F7-45E1-B7C5-D52A23DFE620}">
      <text>
        <r>
          <rPr>
            <sz val="9"/>
            <color indexed="81"/>
            <rFont val="Tahoma"/>
            <family val="2"/>
          </rPr>
          <t xml:space="preserve">     Accrual adjustments to revenue are when income has been earned/realized, but cash has not yet exchanged hands. 
     Note, hedging income accrual adjustment is on the Hedging income line.
</t>
        </r>
      </text>
    </comment>
    <comment ref="E20" authorId="0" shapeId="0" xr:uid="{D2D99220-6FDF-460B-850D-BA66E2F6F7F3}">
      <text>
        <r>
          <rPr>
            <b/>
            <sz val="9"/>
            <color indexed="81"/>
            <rFont val="Tahoma"/>
            <family val="2"/>
          </rPr>
          <t>Kevin J Bernhardt:</t>
        </r>
        <r>
          <rPr>
            <sz val="9"/>
            <color indexed="81"/>
            <rFont val="Tahoma"/>
            <family val="2"/>
          </rPr>
          <t xml:space="preserve">
Schedule F tax return</t>
        </r>
      </text>
    </comment>
    <comment ref="L47" authorId="0" shapeId="0" xr:uid="{06E12654-8057-42B5-9A88-B85BF27C5445}">
      <text>
        <r>
          <rPr>
            <b/>
            <sz val="9"/>
            <color indexed="81"/>
            <rFont val="Tahoma"/>
            <family val="2"/>
          </rPr>
          <t>Kevin J Bernhardt:</t>
        </r>
        <r>
          <rPr>
            <sz val="9"/>
            <color indexed="81"/>
            <rFont val="Tahoma"/>
            <family val="2"/>
          </rPr>
          <t xml:space="preserve">
IS Schedule 2 is based on a percent of market basis value for different kinds of capital assets.</t>
        </r>
      </text>
    </comment>
    <comment ref="C49" authorId="0" shapeId="0" xr:uid="{DA1FD62C-2925-47A3-8617-1BCC101F672D}">
      <text>
        <r>
          <rPr>
            <b/>
            <sz val="9"/>
            <color indexed="81"/>
            <rFont val="Tahoma"/>
            <family val="2"/>
          </rPr>
          <t>Kevin J Bernhardt:</t>
        </r>
        <r>
          <rPr>
            <sz val="9"/>
            <color indexed="81"/>
            <rFont val="Tahoma"/>
            <family val="2"/>
          </rPr>
          <t xml:space="preserve">
Use Tax Depreciation for Cash Income Statement and Economic Depreciation for Accrual Income Statement. </t>
        </r>
      </text>
    </comment>
    <comment ref="G49" authorId="0" shapeId="0" xr:uid="{B190FFF7-2BDC-444A-AFF6-6797BE10BD3D}">
      <text>
        <r>
          <rPr>
            <b/>
            <sz val="9"/>
            <color indexed="81"/>
            <rFont val="Tahoma"/>
            <family val="2"/>
          </rPr>
          <t>Kevin J Bernhardt:</t>
        </r>
        <r>
          <rPr>
            <sz val="9"/>
            <color indexed="81"/>
            <rFont val="Tahoma"/>
            <family val="2"/>
          </rPr>
          <t xml:space="preserve">
The best estimate for economic depreciation is the total from a full depreciation schedule of all assets.  If that is not available then IS Schedules 2 provides an estimate.  </t>
        </r>
      </text>
    </comment>
    <comment ref="D52" authorId="0" shapeId="0" xr:uid="{1C84E288-0C42-4DD6-9DE2-3E81212F4466}">
      <text>
        <r>
          <rPr>
            <b/>
            <sz val="9"/>
            <color indexed="81"/>
            <rFont val="Tahoma"/>
            <family val="2"/>
          </rPr>
          <t>Kevin J Bernhardt:</t>
        </r>
        <r>
          <rPr>
            <sz val="9"/>
            <color indexed="81"/>
            <rFont val="Tahoma"/>
            <family val="2"/>
          </rPr>
          <t xml:space="preserve">
Includes depreciation, does not include interest.</t>
        </r>
      </text>
    </comment>
    <comment ref="D54" authorId="0" shapeId="0" xr:uid="{6527B6A9-9182-49E0-985B-FBBEF69F07C0}">
      <text>
        <r>
          <rPr>
            <b/>
            <sz val="9"/>
            <color indexed="81"/>
            <rFont val="Tahoma"/>
            <family val="2"/>
          </rPr>
          <t>Kevin J Bernhardt:</t>
        </r>
        <r>
          <rPr>
            <sz val="9"/>
            <color indexed="81"/>
            <rFont val="Tahoma"/>
            <family val="2"/>
          </rPr>
          <t xml:space="preserve">
More generally known as EBIT (Earnings Before Interest and Taxes).</t>
        </r>
      </text>
    </comment>
    <comment ref="C56" authorId="0" shapeId="0" xr:uid="{DBEFE740-4068-444D-915C-F197122E14FE}">
      <text>
        <r>
          <rPr>
            <b/>
            <sz val="9"/>
            <color indexed="81"/>
            <rFont val="Tahoma"/>
            <family val="2"/>
          </rPr>
          <t>Kevin J Bernhardt:</t>
        </r>
        <r>
          <rPr>
            <sz val="9"/>
            <color indexed="81"/>
            <rFont val="Tahoma"/>
            <family val="2"/>
          </rPr>
          <t xml:space="preserve">
This value should include any interest on carryover operating debt (aka: Loss Carryover).  Loss Carryover is operating debt that was unpaid and restructured into a term loan.</t>
        </r>
      </text>
    </comment>
    <comment ref="C58" authorId="0" shapeId="0" xr:uid="{374BA11B-46DC-4001-8378-287B6B4F6DB5}">
      <text>
        <r>
          <rPr>
            <b/>
            <sz val="9"/>
            <color indexed="81"/>
            <rFont val="Tahoma"/>
            <family val="2"/>
          </rPr>
          <t>Kevin J Bernhardt:</t>
        </r>
        <r>
          <rPr>
            <sz val="9"/>
            <color indexed="81"/>
            <rFont val="Tahoma"/>
            <family val="2"/>
          </rPr>
          <t xml:space="preserve">
This can be found on tax Form 4797.
Breeding livestock has already been accounted for in operating revenue (line 15).  Look for all other capital assets except breeding livestock in the following lines on Form 4797 and enter the sum.
   - Part I, line 2, column G (all except breeding livestock)
   - Part II, line 10, column G (all except breeding livestock)
   - Part III, line 24 (all except breeding livestock)
Note:  If there are unusual breeding livestock sales (liquidation, material downsizing, etc.) then breeding livestock sales beyond normal recurring operations should also be reported in this line of the Income Statement instead of line 15.</t>
        </r>
      </text>
    </comment>
    <comment ref="C73" authorId="0" shapeId="0" xr:uid="{1C24EDA0-B7C8-4056-B234-365FA8691BA2}">
      <text>
        <r>
          <rPr>
            <b/>
            <sz val="9"/>
            <color indexed="81"/>
            <rFont val="Tahoma"/>
            <family val="2"/>
          </rPr>
          <t>Kevin J Bernhardt:</t>
        </r>
        <r>
          <rPr>
            <sz val="9"/>
            <color indexed="81"/>
            <rFont val="Tahoma"/>
            <family val="2"/>
          </rPr>
          <t xml:space="preserve">
NFIFO was a financial profit metric used in past income statement formats.</t>
        </r>
      </text>
    </comment>
    <comment ref="C74" authorId="0" shapeId="0" xr:uid="{23392726-8832-49B6-BE68-1F412DA54FA4}">
      <text>
        <r>
          <rPr>
            <b/>
            <sz val="9"/>
            <color indexed="81"/>
            <rFont val="Tahoma"/>
            <family val="2"/>
          </rPr>
          <t>Kevin J Bernhardt:</t>
        </r>
        <r>
          <rPr>
            <sz val="9"/>
            <color indexed="81"/>
            <rFont val="Tahoma"/>
            <family val="2"/>
          </rPr>
          <t xml:space="preserve">
Earnings Before Interest, Taxes, Depreciation and Amortization (EBITDA) is a financial metric often used in non-agricultural industries, but agriculture as well.  </t>
        </r>
      </text>
    </comment>
    <comment ref="C75" authorId="0" shapeId="0" xr:uid="{A6AE419A-E1FE-4AE6-9EBC-4F86791E8CD6}">
      <text>
        <r>
          <rPr>
            <b/>
            <sz val="9"/>
            <color indexed="81"/>
            <rFont val="Tahoma"/>
            <family val="2"/>
          </rPr>
          <t>Kevin J Bernhardt:</t>
        </r>
        <r>
          <rPr>
            <sz val="9"/>
            <color indexed="81"/>
            <rFont val="Tahoma"/>
            <family val="2"/>
          </rPr>
          <t xml:space="preserve">
Earnings Before Interest and Taxes (EBIT).  Same value as Income From Operations.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C10" authorId="0" shapeId="0" xr:uid="{494D59A7-8875-435C-AB9F-54F4878FBE3A}">
      <text>
        <r>
          <rPr>
            <b/>
            <sz val="9"/>
            <color indexed="81"/>
            <rFont val="Tahoma"/>
            <family val="2"/>
          </rPr>
          <t>Kevin J Bernhardt:</t>
        </r>
        <r>
          <rPr>
            <sz val="9"/>
            <color indexed="81"/>
            <rFont val="Tahoma"/>
            <family val="2"/>
          </rPr>
          <t xml:space="preserve">
(Withdrawals - Deposits) + (Ending Brokerage Acct Balance - Beginning Brokerage Acct Balance).
     Note, Marked-to-Market values are NOT included in Cash IS</t>
        </r>
      </text>
    </comment>
    <comment ref="C11" authorId="0" shapeId="0" xr:uid="{72BE2AEC-CE3E-412C-BBD0-F1C3E9784D12}">
      <text>
        <r>
          <rPr>
            <b/>
            <sz val="9"/>
            <color indexed="81"/>
            <rFont val="Tahoma"/>
            <family val="2"/>
          </rPr>
          <t>Kevin J Bernhardt:</t>
        </r>
        <r>
          <rPr>
            <sz val="9"/>
            <color indexed="81"/>
            <rFont val="Tahoma"/>
            <family val="2"/>
          </rPr>
          <t xml:space="preserve">
(Withdrawals - Deposits) + (Ending BS - Beginning BS) where Ending and Beginning BS includes Marked-to-Market values</t>
        </r>
      </text>
    </comment>
    <comment ref="C13" authorId="0" shapeId="0" xr:uid="{44FDB4A3-A374-48AC-BFEC-544E99B04459}">
      <text>
        <r>
          <rPr>
            <b/>
            <sz val="9"/>
            <color indexed="81"/>
            <rFont val="Tahoma"/>
            <family val="2"/>
          </rPr>
          <t>Kevin J Bernhardt:</t>
        </r>
        <r>
          <rPr>
            <sz val="9"/>
            <color indexed="81"/>
            <rFont val="Tahoma"/>
            <family val="2"/>
          </rPr>
          <t xml:space="preserve">
The best estimate of economic depreciation is from the "Depreciation Schedule" tab.  This Schedule 2 is an estimate using market values and a percentage replacement.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C8" authorId="0" shapeId="0" xr:uid="{E28936F8-C102-4962-802C-A638E0823BF9}">
      <text>
        <r>
          <rPr>
            <b/>
            <sz val="9"/>
            <color indexed="81"/>
            <rFont val="Tahoma"/>
            <family val="2"/>
          </rPr>
          <t>Kevin J Bernhardt:</t>
        </r>
        <r>
          <rPr>
            <sz val="9"/>
            <color indexed="81"/>
            <rFont val="Tahoma"/>
            <family val="2"/>
          </rPr>
          <t xml:space="preserve">
Operating expenses before interest and depreciation.</t>
        </r>
      </text>
    </comment>
    <comment ref="C28" authorId="0" shapeId="0" xr:uid="{FE50F180-591D-42CA-A823-0B621475E748}">
      <text>
        <r>
          <rPr>
            <b/>
            <sz val="9"/>
            <color indexed="81"/>
            <rFont val="Tahoma"/>
            <family val="2"/>
          </rPr>
          <t>Kevin J Bernhardt:</t>
        </r>
        <r>
          <rPr>
            <sz val="9"/>
            <color indexed="81"/>
            <rFont val="Tahoma"/>
            <family val="2"/>
          </rPr>
          <t xml:space="preserve">
     Calculated as IFO-interest.  This ratio is the same as the previous NFIFO ratio. 
     Sum of Operating Expense Ratio, Depreciation Ratio, Interest Expense Ratio and Profit Ratio should equal 100%.  </t>
        </r>
      </text>
    </comment>
    <comment ref="C48" authorId="0" shapeId="0" xr:uid="{5E2A5146-210E-4503-B16A-63F4AE0DD589}">
      <text>
        <r>
          <rPr>
            <b/>
            <sz val="9"/>
            <color indexed="81"/>
            <rFont val="Tahoma"/>
            <family val="2"/>
          </rPr>
          <t>Kevin J Bernhardt:</t>
        </r>
        <r>
          <rPr>
            <sz val="9"/>
            <color indexed="81"/>
            <rFont val="Tahoma"/>
            <family val="2"/>
          </rPr>
          <t xml:space="preserve">
Based on the beginning of the year.
</t>
        </r>
      </text>
    </comment>
    <comment ref="C49" authorId="0" shapeId="0" xr:uid="{D78ECF58-2E41-4B13-81D8-47C80DAF1C38}">
      <text>
        <r>
          <rPr>
            <b/>
            <sz val="9"/>
            <color indexed="81"/>
            <rFont val="Tahoma"/>
            <family val="2"/>
          </rPr>
          <t>Kevin J Bernhardt:</t>
        </r>
        <r>
          <rPr>
            <sz val="9"/>
            <color indexed="81"/>
            <rFont val="Tahoma"/>
            <family val="2"/>
          </rPr>
          <t xml:space="preserve">
Working Capital/absolute value of NFIFO if NFIFO&lt;0
    Shows how many years it will take for the same level of negative profits to burn through working capital.
    NFIFO = IFO-interest</t>
        </r>
      </text>
    </comment>
    <comment ref="C50" authorId="0" shapeId="0" xr:uid="{EB57ED34-2FD0-4408-A4F1-DD9A698E1119}">
      <text>
        <r>
          <rPr>
            <b/>
            <sz val="9"/>
            <color indexed="81"/>
            <rFont val="Tahoma"/>
            <family val="2"/>
          </rPr>
          <t>Kevin J Bernhardt:</t>
        </r>
        <r>
          <rPr>
            <sz val="9"/>
            <color indexed="81"/>
            <rFont val="Tahoma"/>
            <family val="2"/>
          </rPr>
          <t xml:space="preserve">
Working Capital/Term Debt Service
   Shows number of years working capital can cover term debt service.  (including operating interest)</t>
        </r>
      </text>
    </comment>
    <comment ref="C52" authorId="0" shapeId="0" xr:uid="{9DF6518C-698B-40A2-9A2B-2171F670E48B}">
      <text>
        <r>
          <rPr>
            <b/>
            <sz val="9"/>
            <color indexed="81"/>
            <rFont val="Tahoma"/>
            <family val="2"/>
          </rPr>
          <t>Kevin J Bernhardt:</t>
        </r>
        <r>
          <rPr>
            <sz val="9"/>
            <color indexed="81"/>
            <rFont val="Tahoma"/>
            <family val="2"/>
          </rPr>
          <t xml:space="preserve">
The Quick Ratio is a measure of short-term liquidity.  It is calculated as (cash+marketable securities+accounts receivable)/current liabilities</t>
        </r>
      </text>
    </comment>
    <comment ref="C55" authorId="0" shapeId="0" xr:uid="{0D59F1D3-DE8B-43B1-9748-A8042181AAE1}">
      <text>
        <r>
          <rPr>
            <b/>
            <sz val="9"/>
            <color indexed="81"/>
            <rFont val="Tahoma"/>
            <family val="2"/>
          </rPr>
          <t>Kevin J Bernhardt:</t>
        </r>
        <r>
          <rPr>
            <sz val="9"/>
            <color indexed="81"/>
            <rFont val="Tahoma"/>
            <family val="2"/>
          </rPr>
          <t xml:space="preserve">
Family Living includes amounts paid to family as well as total withdrawal.</t>
        </r>
      </text>
    </comment>
    <comment ref="C57" authorId="0" shapeId="0" xr:uid="{BBC2E51F-5A28-4551-82C2-75D8B9845E1C}">
      <text>
        <r>
          <rPr>
            <b/>
            <sz val="9"/>
            <color indexed="81"/>
            <rFont val="Tahoma"/>
            <family val="2"/>
          </rPr>
          <t>Kevin J Bernhardt:</t>
        </r>
        <r>
          <rPr>
            <sz val="9"/>
            <color indexed="81"/>
            <rFont val="Tahoma"/>
            <family val="2"/>
          </rPr>
          <t xml:space="preserve">
"unitEQ" is a method of calculating costs of production that adjusts for costs for products and services other than the primary product.</t>
        </r>
      </text>
    </comment>
    <comment ref="C58" authorId="0" shapeId="0" xr:uid="{36E35506-1C60-4896-9CB4-7A606DA55832}">
      <text>
        <r>
          <rPr>
            <b/>
            <sz val="9"/>
            <color indexed="81"/>
            <rFont val="Tahoma"/>
            <family val="2"/>
          </rPr>
          <t>Kevin J Bernhardt:</t>
        </r>
        <r>
          <rPr>
            <sz val="9"/>
            <color indexed="81"/>
            <rFont val="Tahoma"/>
            <family val="2"/>
          </rPr>
          <t xml:space="preserve">
Residual Claimant is a method of calculating costs of production that adjusts for costs for products and services other than the primary product.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B11" authorId="0" shapeId="0" xr:uid="{C6EEDDE5-053A-413D-B8F5-4A90D4F88F16}">
      <text>
        <r>
          <rPr>
            <b/>
            <sz val="9"/>
            <color indexed="81"/>
            <rFont val="Tahoma"/>
            <family val="2"/>
          </rPr>
          <t>Kevin J Bernhardt:</t>
        </r>
        <r>
          <rPr>
            <sz val="9"/>
            <color indexed="81"/>
            <rFont val="Tahoma"/>
            <family val="2"/>
          </rPr>
          <t xml:space="preserve">
Refers to:
  -Debt Repayment
  -Capital Asset Replacement  
   (portion needed from owners)</t>
        </r>
      </text>
    </comment>
    <comment ref="B25" authorId="0" shapeId="0" xr:uid="{D52F8D2B-BD00-4329-B755-6B25F09E0510}">
      <text>
        <r>
          <rPr>
            <b/>
            <sz val="9"/>
            <color indexed="81"/>
            <rFont val="Tahoma"/>
            <family val="2"/>
          </rPr>
          <t>Kevin J Bernhardt:</t>
        </r>
        <r>
          <rPr>
            <sz val="9"/>
            <color indexed="81"/>
            <rFont val="Tahoma"/>
            <family val="2"/>
          </rPr>
          <t xml:space="preserve">
For context, Estimates 2 and 3 from the 'Input Sheet' tab (shown below) are estimates of how much owners should be investing of their own funds in new capital purchases in order to replace capital in a timely manner.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A6" authorId="0" shapeId="0" xr:uid="{2CB1D95D-5852-4761-ACB3-86C7D259C744}">
      <text>
        <r>
          <rPr>
            <b/>
            <sz val="9"/>
            <color indexed="81"/>
            <rFont val="Tahoma"/>
            <family val="2"/>
          </rPr>
          <t>Kevin J Bernhardt:</t>
        </r>
        <r>
          <rPr>
            <sz val="9"/>
            <color indexed="81"/>
            <rFont val="Tahoma"/>
            <family val="2"/>
          </rPr>
          <t xml:space="preserve">
Includes depreciation, does not include interest.</t>
        </r>
      </text>
    </comment>
    <comment ref="A7" authorId="0" shapeId="0" xr:uid="{8654F180-A555-4196-92AE-767F7FCB5F1F}">
      <text>
        <r>
          <rPr>
            <b/>
            <sz val="9"/>
            <color indexed="81"/>
            <rFont val="Tahoma"/>
            <family val="2"/>
          </rPr>
          <t>Kevin J Bernhardt:</t>
        </r>
        <r>
          <rPr>
            <sz val="9"/>
            <color indexed="81"/>
            <rFont val="Tahoma"/>
            <family val="2"/>
          </rPr>
          <t xml:space="preserve">
Total Cost of Production</t>
        </r>
      </text>
    </comment>
    <comment ref="A13" authorId="0" shapeId="0" xr:uid="{A821FE42-4587-4929-BA99-AED9499B6345}">
      <text>
        <r>
          <rPr>
            <b/>
            <sz val="9"/>
            <color indexed="81"/>
            <rFont val="Tahoma"/>
            <family val="2"/>
          </rPr>
          <t>Kevin J Bernhardt:</t>
        </r>
        <r>
          <rPr>
            <sz val="9"/>
            <color indexed="81"/>
            <rFont val="Tahoma"/>
            <family val="2"/>
          </rPr>
          <t xml:space="preserve">
Includes depreciation, does not include interest.</t>
        </r>
      </text>
    </comment>
    <comment ref="A14" authorId="0" shapeId="0" xr:uid="{E3A93984-0BC2-422D-967C-4119DD2A4CF5}">
      <text>
        <r>
          <rPr>
            <b/>
            <sz val="9"/>
            <color indexed="81"/>
            <rFont val="Tahoma"/>
            <family val="2"/>
          </rPr>
          <t>Kevin J Bernhardt:</t>
        </r>
        <r>
          <rPr>
            <sz val="9"/>
            <color indexed="81"/>
            <rFont val="Tahoma"/>
            <family val="2"/>
          </rPr>
          <t xml:space="preserve">
Total Cost of Production</t>
        </r>
      </text>
    </comment>
    <comment ref="A22" authorId="0" shapeId="0" xr:uid="{FA3E5674-EFC2-433A-B5AF-124FDA12CD15}">
      <text>
        <r>
          <rPr>
            <b/>
            <sz val="9"/>
            <color indexed="81"/>
            <rFont val="Tahoma"/>
            <family val="2"/>
          </rPr>
          <t>Kevin J Bernhardt:</t>
        </r>
        <r>
          <rPr>
            <sz val="9"/>
            <color indexed="81"/>
            <rFont val="Tahoma"/>
            <family val="2"/>
          </rPr>
          <t xml:space="preserve">
Term and Operating</t>
        </r>
      </text>
    </comment>
    <comment ref="A23" authorId="0" shapeId="0" xr:uid="{22782EFA-5228-470E-8645-C40202805917}">
      <text>
        <r>
          <rPr>
            <b/>
            <sz val="9"/>
            <color indexed="81"/>
            <rFont val="Tahoma"/>
            <family val="2"/>
          </rPr>
          <t>Kevin J Bernhardt:</t>
        </r>
        <r>
          <rPr>
            <sz val="9"/>
            <color indexed="81"/>
            <rFont val="Tahoma"/>
            <family val="2"/>
          </rPr>
          <t xml:space="preserve">
Does not include operating principal or interest</t>
        </r>
      </text>
    </comment>
    <comment ref="G23" authorId="0" shapeId="0" xr:uid="{FA33AEE4-2BB0-4E83-98EE-CD2A6BF07515}">
      <text>
        <r>
          <rPr>
            <b/>
            <sz val="9"/>
            <color indexed="81"/>
            <rFont val="Tahoma"/>
            <family val="2"/>
          </rPr>
          <t>Kevin J Bernhardt:</t>
        </r>
        <r>
          <rPr>
            <sz val="9"/>
            <color indexed="81"/>
            <rFont val="Tahoma"/>
            <family val="2"/>
          </rPr>
          <t xml:space="preserve">
Red: &gt; 20%
Yellow: 10% - 19%
Green: &lt; 9%
</t>
        </r>
      </text>
    </comment>
    <comment ref="A28" authorId="0" shapeId="0" xr:uid="{7574B515-7457-45EE-9722-405D4BBEC809}">
      <text>
        <r>
          <rPr>
            <b/>
            <sz val="9"/>
            <color indexed="81"/>
            <rFont val="Tahoma"/>
            <family val="2"/>
          </rPr>
          <t>Kevin J Bernhardt:</t>
        </r>
        <r>
          <rPr>
            <sz val="9"/>
            <color indexed="81"/>
            <rFont val="Tahoma"/>
            <family val="2"/>
          </rPr>
          <t xml:space="preserve">
     Calculated as (total accrual interest on year-end income statement divided by total principal on Beg BS).
     This is an estimate only as it is not a weighted average interest rate.
</t>
        </r>
      </text>
    </comment>
    <comment ref="A45" authorId="0" shapeId="0" xr:uid="{CD76BC3A-1214-4E36-BE20-A64B53220695}">
      <text>
        <r>
          <rPr>
            <b/>
            <sz val="9"/>
            <color indexed="81"/>
            <rFont val="Tahoma"/>
            <family val="2"/>
          </rPr>
          <t>Kevin J Bernhardt:</t>
        </r>
        <r>
          <rPr>
            <sz val="9"/>
            <color indexed="81"/>
            <rFont val="Tahoma"/>
            <family val="2"/>
          </rPr>
          <t xml:space="preserve">
Includes unpaid labor and management</t>
        </r>
      </text>
    </comment>
    <comment ref="A46" authorId="0" shapeId="0" xr:uid="{028C6158-9384-44B4-817B-44B3292E7276}">
      <text>
        <r>
          <rPr>
            <b/>
            <sz val="9"/>
            <color indexed="81"/>
            <rFont val="Tahoma"/>
            <family val="2"/>
          </rPr>
          <t>Kevin J Bernhardt:</t>
        </r>
        <r>
          <rPr>
            <sz val="9"/>
            <color indexed="81"/>
            <rFont val="Tahoma"/>
            <family val="2"/>
          </rPr>
          <t xml:space="preserve">
Includes unpaid labor and management</t>
        </r>
      </text>
    </comment>
    <comment ref="A47" authorId="0" shapeId="0" xr:uid="{B8839A13-380C-4B06-A734-0E70D721F804}">
      <text>
        <r>
          <rPr>
            <b/>
            <sz val="9"/>
            <color indexed="81"/>
            <rFont val="Tahoma"/>
            <family val="2"/>
          </rPr>
          <t>Kevin J Bernhardt:</t>
        </r>
        <r>
          <rPr>
            <sz val="9"/>
            <color indexed="81"/>
            <rFont val="Tahoma"/>
            <family val="2"/>
          </rPr>
          <t xml:space="preserve">
Includes unpaid labor and management</t>
        </r>
      </text>
    </comment>
    <comment ref="A52" authorId="0" shapeId="0" xr:uid="{C071BF08-A1E8-414C-8DF2-9947DB5E9C38}">
      <text>
        <r>
          <rPr>
            <b/>
            <sz val="9"/>
            <color indexed="81"/>
            <rFont val="Tahoma"/>
            <family val="2"/>
          </rPr>
          <t>Kevin J Bernhardt:</t>
        </r>
        <r>
          <rPr>
            <sz val="9"/>
            <color indexed="81"/>
            <rFont val="Tahoma"/>
            <family val="2"/>
          </rPr>
          <t xml:space="preserve">
Also called "Working Capital Sufficiency"
</t>
        </r>
      </text>
    </comment>
    <comment ref="A53" authorId="0" shapeId="0" xr:uid="{B05FD996-F795-4E10-B034-05BB59D13D8F}">
      <text>
        <r>
          <rPr>
            <b/>
            <sz val="9"/>
            <color indexed="81"/>
            <rFont val="Tahoma"/>
            <family val="2"/>
          </rPr>
          <t>Kevin J Bernhardt:</t>
        </r>
        <r>
          <rPr>
            <sz val="9"/>
            <color indexed="81"/>
            <rFont val="Tahoma"/>
            <family val="2"/>
          </rPr>
          <t xml:space="preserve">
Based on the beginning of the year.
</t>
        </r>
      </text>
    </comment>
    <comment ref="A60" authorId="0" shapeId="0" xr:uid="{932D9492-B9EB-4399-99E2-C1843580350A}">
      <text>
        <r>
          <rPr>
            <b/>
            <sz val="9"/>
            <color indexed="81"/>
            <rFont val="Tahoma"/>
            <family val="2"/>
          </rPr>
          <t>Kevin J Bernhardt:</t>
        </r>
        <r>
          <rPr>
            <sz val="9"/>
            <color indexed="81"/>
            <rFont val="Tahoma"/>
            <family val="2"/>
          </rPr>
          <t xml:space="preserve">
Family Living includes amounts paid to family as well as total withdrawal.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Kevin J Bernhardt</author>
    <author>oit-bilsa</author>
  </authors>
  <commentList>
    <comment ref="K5" authorId="0" shapeId="0" xr:uid="{5A311CFE-9B14-4E02-9D1D-800E8E5ACA15}">
      <text>
        <r>
          <rPr>
            <b/>
            <sz val="9"/>
            <color indexed="81"/>
            <rFont val="Tahoma"/>
            <family val="2"/>
          </rPr>
          <t>Kevin J Bernhardt:</t>
        </r>
        <r>
          <rPr>
            <sz val="9"/>
            <color indexed="81"/>
            <rFont val="Tahoma"/>
            <family val="2"/>
          </rPr>
          <t xml:space="preserve">
This is the interest expense ratio</t>
        </r>
      </text>
    </comment>
    <comment ref="F9" authorId="1" shapeId="0" xr:uid="{8D7FBBA6-DC97-46AC-9A9C-309F155CDAEA}">
      <text>
        <r>
          <rPr>
            <b/>
            <sz val="9"/>
            <color indexed="81"/>
            <rFont val="Tahoma"/>
            <family val="2"/>
          </rPr>
          <t>Return on Investment (ROI) ratio.</t>
        </r>
      </text>
    </comment>
  </commentList>
</comments>
</file>

<file path=xl/sharedStrings.xml><?xml version="1.0" encoding="utf-8"?>
<sst xmlns="http://schemas.openxmlformats.org/spreadsheetml/2006/main" count="2046" uniqueCount="1165">
  <si>
    <t>Cost</t>
  </si>
  <si>
    <t>Market</t>
  </si>
  <si>
    <t>Total Current Assets</t>
  </si>
  <si>
    <t>Credit Cards</t>
  </si>
  <si>
    <t>Total Current Liabilities</t>
  </si>
  <si>
    <t>TOTAL ASSETS</t>
  </si>
  <si>
    <t>Supplies</t>
  </si>
  <si>
    <t>TOTAL OWNER EQUITY</t>
  </si>
  <si>
    <t>TOTAL LIABILITIES</t>
  </si>
  <si>
    <t>Purchased Feed</t>
  </si>
  <si>
    <t>Description</t>
  </si>
  <si>
    <t>TOTAL</t>
  </si>
  <si>
    <t>User input in yellow-shaded areas</t>
  </si>
  <si>
    <t># of shares or units</t>
  </si>
  <si>
    <t>Acquisition price per share/unit</t>
  </si>
  <si>
    <t>Current share/unit price</t>
  </si>
  <si>
    <t xml:space="preserve">Description of Accounts, Notes, and Contracts Receivable </t>
  </si>
  <si>
    <t>Interest Rate</t>
  </si>
  <si>
    <t>Accrued Interest Due</t>
  </si>
  <si>
    <t>Units description</t>
  </si>
  <si>
    <t>Units in Inventory</t>
  </si>
  <si>
    <t>Acres</t>
  </si>
  <si>
    <t>Total Cost Value</t>
  </si>
  <si>
    <t>Total Market Value</t>
  </si>
  <si>
    <t>Purchased Breeding Livestock</t>
  </si>
  <si>
    <t>Acquisition Cost</t>
  </si>
  <si>
    <t>Accumulated Depreciation</t>
  </si>
  <si>
    <r>
      <t xml:space="preserve">Date Acquired
</t>
    </r>
    <r>
      <rPr>
        <sz val="9"/>
        <color theme="1"/>
        <rFont val="Calibri"/>
        <family val="2"/>
        <scheme val="minor"/>
      </rPr>
      <t>mm/yyyy</t>
    </r>
  </si>
  <si>
    <t>Personal Residence</t>
  </si>
  <si>
    <t>Date Acquired</t>
  </si>
  <si>
    <t>Land and Land Improvements</t>
  </si>
  <si>
    <t>Buildings and Improvements</t>
  </si>
  <si>
    <r>
      <rPr>
        <sz val="14"/>
        <color theme="1"/>
        <rFont val="Calibri"/>
        <family val="2"/>
        <scheme val="minor"/>
      </rPr>
      <t>Accounts Payable</t>
    </r>
    <r>
      <rPr>
        <sz val="11"/>
        <color theme="1"/>
        <rFont val="Calibri"/>
        <family val="2"/>
        <scheme val="minor"/>
      </rPr>
      <t xml:space="preserve">
(Includes: wages, repairs, supplies and inputs, rent, etc.) </t>
    </r>
  </si>
  <si>
    <t>Next Payment Date
mm/yyyy</t>
  </si>
  <si>
    <t>Date Loan received or last pmt date
mm/yyyy</t>
  </si>
  <si>
    <t>Total Mortgage Loans:</t>
  </si>
  <si>
    <t>Balance Due</t>
  </si>
  <si>
    <t>ASSETS</t>
  </si>
  <si>
    <t>Cash (checking &amp; savings accts)</t>
  </si>
  <si>
    <t>LIABILITIES</t>
  </si>
  <si>
    <t>OWNER EQUITY</t>
  </si>
  <si>
    <t>End of Year:</t>
  </si>
  <si>
    <t>Average TOTAL Liabilities</t>
  </si>
  <si>
    <t>Average TOTAL Owner Equity</t>
  </si>
  <si>
    <t>Accrual Adjustment to Income</t>
  </si>
  <si>
    <t>Expense Adjustment for unpaid items (expenses realized but not yet paid)</t>
  </si>
  <si>
    <t>Accts payable &amp; credit cards</t>
  </si>
  <si>
    <t>Expense Adjustments for unpaid items:</t>
  </si>
  <si>
    <t>Other current liabilities</t>
  </si>
  <si>
    <r>
      <t>Total Accounts Payable</t>
    </r>
    <r>
      <rPr>
        <sz val="11"/>
        <color theme="1"/>
        <rFont val="Calibri"/>
        <family val="2"/>
        <scheme val="minor"/>
      </rPr>
      <t xml:space="preserve">: </t>
    </r>
  </si>
  <si>
    <r>
      <t xml:space="preserve">Total Credit Cards </t>
    </r>
    <r>
      <rPr>
        <sz val="11"/>
        <color theme="1"/>
        <rFont val="Calibri"/>
        <family val="2"/>
        <scheme val="minor"/>
      </rPr>
      <t>:</t>
    </r>
  </si>
  <si>
    <t>End of Year Balance Sheet Schedules For:</t>
  </si>
  <si>
    <t>Accrued expenses/liabilities</t>
  </si>
  <si>
    <t>Taxable</t>
  </si>
  <si>
    <t>Non-Federal Income taxes payable</t>
  </si>
  <si>
    <t>Federal Income taxes payable</t>
  </si>
  <si>
    <t>Market value per acre</t>
  </si>
  <si>
    <t>Tax Basis</t>
  </si>
  <si>
    <t>Adjustment to Net Income After Taxes for income taxes payable:</t>
  </si>
  <si>
    <t>Change in Valuation Equity</t>
  </si>
  <si>
    <t>Acquisition Cost/Acre</t>
  </si>
  <si>
    <t>Total Change in Contributed Capital</t>
  </si>
  <si>
    <t xml:space="preserve">     RE, Personal Residence </t>
  </si>
  <si>
    <t xml:space="preserve">     RE, Bldgs &amp; improvements </t>
  </si>
  <si>
    <t xml:space="preserve">     Other non-current assets </t>
  </si>
  <si>
    <t>Change in Contributed Capital This Year</t>
  </si>
  <si>
    <t>Deferred taxes on all but Mrkt value changes</t>
  </si>
  <si>
    <t>Change in Retained Earnings</t>
  </si>
  <si>
    <t xml:space="preserve">     Withdrawals for unpaid labor/mgt</t>
  </si>
  <si>
    <t>Total Change in Retained Earnings</t>
  </si>
  <si>
    <t>Total Change in Owner Equity</t>
  </si>
  <si>
    <t>B</t>
  </si>
  <si>
    <t>Total Intermediate Assets</t>
  </si>
  <si>
    <t>Intermediate Liabilities</t>
  </si>
  <si>
    <t>Long-Term Liabilities</t>
  </si>
  <si>
    <t>Total Intermediate Liabilities</t>
  </si>
  <si>
    <t>Current Liabilities</t>
  </si>
  <si>
    <t>Total Fixed Assets</t>
  </si>
  <si>
    <t>Total Long-Term Liabilities</t>
  </si>
  <si>
    <t>Current Assets, Capital Gain</t>
  </si>
  <si>
    <t>Current Assets, Ordinary Income</t>
  </si>
  <si>
    <t>Cost Basis</t>
  </si>
  <si>
    <t>Market Basis</t>
  </si>
  <si>
    <t>Ordinary Tax Rate (%)</t>
  </si>
  <si>
    <t>Capital Gains Tax Rate (%)</t>
  </si>
  <si>
    <t>Raised breeding livestock</t>
  </si>
  <si>
    <t>Purchased breeding livestock</t>
  </si>
  <si>
    <t>Machinery &amp; Equipment</t>
  </si>
  <si>
    <t xml:space="preserve">RE, Personal Residence </t>
  </si>
  <si>
    <t xml:space="preserve">RE, Land &amp; improvements </t>
  </si>
  <si>
    <t xml:space="preserve">RE, Bldgs &amp; improvements </t>
  </si>
  <si>
    <t xml:space="preserve">Other non-current assets </t>
  </si>
  <si>
    <t>Deferred Tax</t>
  </si>
  <si>
    <t>Mrkt Asset Value</t>
  </si>
  <si>
    <t>Deductions or Cost Basis</t>
  </si>
  <si>
    <t>Self Employment Tax</t>
  </si>
  <si>
    <t>Total, All Deferred Taxes Current and Non-Current</t>
  </si>
  <si>
    <t>Beginning of the Year Inventory (Head)</t>
  </si>
  <si>
    <t>End of the Year Inventory (Head)</t>
  </si>
  <si>
    <t>Accrual Adjustment</t>
  </si>
  <si>
    <t>Gain (Loss) due to Base Value Change</t>
  </si>
  <si>
    <t>End of Year Market Value per head</t>
  </si>
  <si>
    <t>Current Market Value per head</t>
  </si>
  <si>
    <t>Total Accumulated Depreciation</t>
  </si>
  <si>
    <t>Acquisition Cost per head</t>
  </si>
  <si>
    <t>Name of farm:</t>
  </si>
  <si>
    <t>Current year of analysis (yyyy):</t>
  </si>
  <si>
    <t>Other current assets</t>
  </si>
  <si>
    <t>Accrued interest on leased capital assets</t>
  </si>
  <si>
    <t>Expense Adjustments for Accrued interest:</t>
  </si>
  <si>
    <t xml:space="preserve">Valuation Equity: </t>
  </si>
  <si>
    <t>Investment in other entities</t>
  </si>
  <si>
    <t>Accounts receivable</t>
  </si>
  <si>
    <t>Schedule B: Marketable Securities</t>
  </si>
  <si>
    <r>
      <t>Schedule C: Accounts, Notes, and Contracts Receivable</t>
    </r>
    <r>
      <rPr>
        <b/>
        <u/>
        <vertAlign val="superscript"/>
        <sz val="14"/>
        <color theme="1"/>
        <rFont val="Calibri"/>
        <family val="2"/>
        <scheme val="minor"/>
      </rPr>
      <t>1</t>
    </r>
  </si>
  <si>
    <t>Current Asset</t>
  </si>
  <si>
    <t>Intermediate</t>
  </si>
  <si>
    <t>Fixed Asset</t>
  </si>
  <si>
    <r>
      <rPr>
        <u/>
        <sz val="11"/>
        <color theme="1"/>
        <rFont val="Calibri"/>
        <family val="2"/>
        <scheme val="minor"/>
      </rPr>
      <t xml:space="preserve">Cost Basis BS
</t>
    </r>
    <r>
      <rPr>
        <sz val="11"/>
        <color theme="1"/>
        <rFont val="Calibri"/>
        <family val="2"/>
        <scheme val="minor"/>
      </rPr>
      <t>Use Cost Value</t>
    </r>
  </si>
  <si>
    <r>
      <rPr>
        <u/>
        <sz val="11"/>
        <color theme="1"/>
        <rFont val="Calibri"/>
        <family val="2"/>
        <scheme val="minor"/>
      </rPr>
      <t>Mrkt Basis BS</t>
    </r>
    <r>
      <rPr>
        <sz val="11"/>
        <color theme="1"/>
        <rFont val="Calibri"/>
        <family val="2"/>
        <scheme val="minor"/>
      </rPr>
      <t xml:space="preserve">
Use Cost Value</t>
    </r>
  </si>
  <si>
    <r>
      <rPr>
        <u/>
        <sz val="11"/>
        <color theme="1"/>
        <rFont val="Calibri"/>
        <family val="2"/>
        <scheme val="minor"/>
      </rPr>
      <t>Mrkt Basis BS</t>
    </r>
    <r>
      <rPr>
        <sz val="11"/>
        <color theme="1"/>
        <rFont val="Calibri"/>
        <family val="2"/>
        <scheme val="minor"/>
      </rPr>
      <t xml:space="preserve">
Use Market Value</t>
    </r>
  </si>
  <si>
    <r>
      <rPr>
        <vertAlign val="superscript"/>
        <sz val="11"/>
        <color theme="1"/>
        <rFont val="Calibri"/>
        <family val="2"/>
        <scheme val="minor"/>
      </rPr>
      <t xml:space="preserve"> 1   </t>
    </r>
    <r>
      <rPr>
        <sz val="11"/>
        <color theme="1"/>
        <rFont val="Calibri"/>
        <family val="2"/>
        <scheme val="minor"/>
      </rPr>
      <t>Includes anything earned and owed to you, but not yet paid (sales of products, crop insurance /other insurance indemnities, govt. program payments, etc.).  Also include any accrued interest owed.  Totals are the same for Cost and Market Basis balance sheet.</t>
    </r>
  </si>
  <si>
    <r>
      <rPr>
        <u/>
        <sz val="11"/>
        <color theme="1"/>
        <rFont val="Calibri"/>
        <family val="2"/>
        <scheme val="minor"/>
      </rPr>
      <t>Cost Basis BS</t>
    </r>
    <r>
      <rPr>
        <sz val="11"/>
        <color theme="1"/>
        <rFont val="Calibri"/>
        <family val="2"/>
        <scheme val="minor"/>
      </rPr>
      <t xml:space="preserve">
Use Cost Value</t>
    </r>
  </si>
  <si>
    <r>
      <rPr>
        <u/>
        <sz val="11"/>
        <color theme="1"/>
        <rFont val="Calibri"/>
        <family val="2"/>
        <scheme val="minor"/>
      </rPr>
      <t>Mrkt Basis BS</t>
    </r>
    <r>
      <rPr>
        <sz val="11"/>
        <color theme="1"/>
        <rFont val="Calibri"/>
        <family val="2"/>
        <scheme val="minor"/>
      </rPr>
      <t xml:space="preserve">
Use Mrkt Value</t>
    </r>
  </si>
  <si>
    <t>Schedule F:  Other Current Assets</t>
  </si>
  <si>
    <t>Schedule G: Raised Breeding Livestock (Base Value Method)</t>
  </si>
  <si>
    <t>Type of Breeding Animal</t>
  </si>
  <si>
    <r>
      <rPr>
        <u/>
        <sz val="11"/>
        <color theme="1"/>
        <rFont val="Calibri"/>
        <family val="2"/>
        <scheme val="minor"/>
      </rPr>
      <t>Cost Basis BS</t>
    </r>
    <r>
      <rPr>
        <sz val="11"/>
        <color theme="1"/>
        <rFont val="Calibri"/>
        <family val="2"/>
        <scheme val="minor"/>
      </rPr>
      <t xml:space="preserve">
Total Cost Value (Base Value)</t>
    </r>
  </si>
  <si>
    <r>
      <rPr>
        <u/>
        <sz val="11"/>
        <color theme="1"/>
        <rFont val="Calibri"/>
        <family val="2"/>
        <scheme val="minor"/>
      </rPr>
      <t>Mrkt Basis BS</t>
    </r>
    <r>
      <rPr>
        <sz val="11"/>
        <color theme="1"/>
        <rFont val="Calibri"/>
        <family val="2"/>
        <scheme val="minor"/>
      </rPr>
      <t xml:space="preserve">
Total Market Value</t>
    </r>
  </si>
  <si>
    <t>Schedule J:  Real Estate (land, buildings, and improvements)</t>
  </si>
  <si>
    <r>
      <rPr>
        <u/>
        <sz val="11"/>
        <color theme="1"/>
        <rFont val="Calibri"/>
        <family val="2"/>
        <scheme val="minor"/>
      </rPr>
      <t xml:space="preserve">Mrkt Basis BS </t>
    </r>
    <r>
      <rPr>
        <sz val="11"/>
        <color theme="1"/>
        <rFont val="Calibri"/>
        <family val="2"/>
        <scheme val="minor"/>
      </rPr>
      <t xml:space="preserve">
Use Mrkt Value</t>
    </r>
  </si>
  <si>
    <r>
      <rPr>
        <vertAlign val="superscript"/>
        <sz val="11"/>
        <color theme="1"/>
        <rFont val="Calibri"/>
        <family val="2"/>
        <scheme val="minor"/>
      </rPr>
      <t>1</t>
    </r>
    <r>
      <rPr>
        <sz val="11"/>
        <color theme="1"/>
        <rFont val="Calibri"/>
        <family val="2"/>
        <scheme val="minor"/>
      </rPr>
      <t xml:space="preserve">  Includes investments in cooperatives, unpaid cooperative dividends, investment in other entities, where conversion to cash is beyond one year.</t>
    </r>
  </si>
  <si>
    <t>Intermediate Asset Value</t>
  </si>
  <si>
    <t>Current Liability, Lease Pmt</t>
  </si>
  <si>
    <t>Current Liability, Accrued Interest</t>
  </si>
  <si>
    <t>Intermediate Liability</t>
  </si>
  <si>
    <t>Liability Schedules</t>
  </si>
  <si>
    <t>Date Incurred
mm/yyyy</t>
  </si>
  <si>
    <t>Balance Due Beyond 12 Months
(Intermediate)</t>
  </si>
  <si>
    <t>Balance Due Beyond 12 Months
(Long-Term)</t>
  </si>
  <si>
    <r>
      <t>Totals Non-Term Loans</t>
    </r>
    <r>
      <rPr>
        <b/>
        <sz val="11"/>
        <color theme="1"/>
        <rFont val="Calibri"/>
        <family val="2"/>
        <scheme val="minor"/>
      </rPr>
      <t>:</t>
    </r>
  </si>
  <si>
    <t>Total Term Loans other than mortgages or land contracts:</t>
  </si>
  <si>
    <t>Schedule N: Accrued Expenses/Liability</t>
  </si>
  <si>
    <t>Accrued Balance</t>
  </si>
  <si>
    <t>Schedule O: Income Taxes Payable</t>
  </si>
  <si>
    <r>
      <t xml:space="preserve">Description 
</t>
    </r>
    <r>
      <rPr>
        <sz val="10"/>
        <color theme="1"/>
        <rFont val="Calibri"/>
        <family val="2"/>
        <scheme val="minor"/>
      </rPr>
      <t>(wages payable, RE taxes, employer withholding, etc.)</t>
    </r>
  </si>
  <si>
    <t>Federal Income Taxes Payable</t>
  </si>
  <si>
    <t>Non-Federal Income Taxes Payable</t>
  </si>
  <si>
    <t>Sched</t>
  </si>
  <si>
    <t>A</t>
  </si>
  <si>
    <t>C</t>
  </si>
  <si>
    <t>D</t>
  </si>
  <si>
    <t>E</t>
  </si>
  <si>
    <t>F</t>
  </si>
  <si>
    <t>G</t>
  </si>
  <si>
    <t>H</t>
  </si>
  <si>
    <t>I</t>
  </si>
  <si>
    <t>K</t>
  </si>
  <si>
    <t>L</t>
  </si>
  <si>
    <t>J</t>
  </si>
  <si>
    <t>M</t>
  </si>
  <si>
    <t>N</t>
  </si>
  <si>
    <t>O</t>
  </si>
  <si>
    <t>P</t>
  </si>
  <si>
    <t>Marketable securities</t>
  </si>
  <si>
    <t xml:space="preserve">Other Current Assets </t>
  </si>
  <si>
    <t xml:space="preserve">Machinery and equipment </t>
  </si>
  <si>
    <t xml:space="preserve">Intermediate accounts receivable </t>
  </si>
  <si>
    <t xml:space="preserve">Leased assets </t>
  </si>
  <si>
    <t xml:space="preserve">Accounts payable &amp; credit cards </t>
  </si>
  <si>
    <t>Other Current Liabilities</t>
  </si>
  <si>
    <t>Long-term loan balances</t>
  </si>
  <si>
    <r>
      <t>Accounts receivable</t>
    </r>
    <r>
      <rPr>
        <sz val="11"/>
        <color theme="1"/>
        <rFont val="Calibri"/>
        <family val="2"/>
        <scheme val="minor"/>
      </rPr>
      <t xml:space="preserve"> </t>
    </r>
    <r>
      <rPr>
        <sz val="8"/>
        <color theme="1"/>
        <rFont val="Calibri"/>
        <family val="2"/>
        <scheme val="minor"/>
      </rPr>
      <t>(incl accrued interest)</t>
    </r>
  </si>
  <si>
    <t xml:space="preserve">Schedule I: Machinery and Equipment </t>
  </si>
  <si>
    <t>Current portion, capital leases</t>
  </si>
  <si>
    <t>Accrued interest, capital leases</t>
  </si>
  <si>
    <t>Schedule M:  Accounts Payable, Credit Cards and Debt Service (term and non-term/operating loans)</t>
  </si>
  <si>
    <t>Non-Term/Operating Loans</t>
  </si>
  <si>
    <t xml:space="preserve">Ending Balance Sheet For: </t>
  </si>
  <si>
    <t xml:space="preserve">Beginning Balance Sheet For: </t>
  </si>
  <si>
    <t>Deferred Taxes on Current Assets</t>
  </si>
  <si>
    <t>Deferred Taxes on Cost Basis of Non-Current Assets</t>
  </si>
  <si>
    <t>Deferred Taxes on Market Value of Non-Current Assets, Valuation Equity</t>
  </si>
  <si>
    <t>Intermediate capital lease balances</t>
  </si>
  <si>
    <t>Ending for:</t>
  </si>
  <si>
    <t xml:space="preserve">     Raised breeding livestock</t>
  </si>
  <si>
    <t xml:space="preserve">     Purchased breeding livestock</t>
  </si>
  <si>
    <t xml:space="preserve">     Machinery &amp; Equipment</t>
  </si>
  <si>
    <t xml:space="preserve">     RE, Land &amp; improvements </t>
  </si>
  <si>
    <t xml:space="preserve">     Accounts receivable</t>
  </si>
  <si>
    <t>Total Change in Valuation Equity</t>
  </si>
  <si>
    <t xml:space="preserve">     New capital contributions (gifts, inheritance, other non-farm)</t>
  </si>
  <si>
    <t xml:space="preserve">Operating Debt Weighted Average Interest Rate: </t>
  </si>
  <si>
    <t xml:space="preserve">Term Debt and Loss Carryover Weighted Average Interest Rate: </t>
  </si>
  <si>
    <t>Weighted Operating  Interest Rate</t>
  </si>
  <si>
    <t>Weighted Term  Interest Rate</t>
  </si>
  <si>
    <t>Accrued interest on term &amp; loss carryover debt</t>
  </si>
  <si>
    <t>Deferred Tax (enter "x" to include)</t>
  </si>
  <si>
    <t>Score Card</t>
  </si>
  <si>
    <t>Weak</t>
  </si>
  <si>
    <t xml:space="preserve">Watch </t>
  </si>
  <si>
    <t>Strong</t>
  </si>
  <si>
    <t>Liquidity</t>
  </si>
  <si>
    <t>Current Ratio</t>
  </si>
  <si>
    <t>&lt;1.3</t>
  </si>
  <si>
    <t>1.3-2.0</t>
  </si>
  <si>
    <t>&gt;2.0</t>
  </si>
  <si>
    <t>Working Capital</t>
  </si>
  <si>
    <t>Solvency</t>
  </si>
  <si>
    <t>Debt:Asset</t>
  </si>
  <si>
    <t>&gt;60%</t>
  </si>
  <si>
    <t>30%-60%</t>
  </si>
  <si>
    <t>&lt;30%</t>
  </si>
  <si>
    <t>&lt;40%</t>
  </si>
  <si>
    <t>40%-70%</t>
  </si>
  <si>
    <t>&gt;70%</t>
  </si>
  <si>
    <t>&gt;1.5</t>
  </si>
  <si>
    <t>.43-1.5</t>
  </si>
  <si>
    <t>&lt;.43</t>
  </si>
  <si>
    <t xml:space="preserve">     This year's after tax net income (loss) (includes non-farm)</t>
  </si>
  <si>
    <t>Current Assets (&lt; 1 Year)</t>
  </si>
  <si>
    <t>Fixed Assets (&gt;10 Years)</t>
  </si>
  <si>
    <t>Long-term contracts/accts receivable</t>
  </si>
  <si>
    <t xml:space="preserve">Other intermediate assets/investments </t>
  </si>
  <si>
    <t>Fixed investment in cooperatives</t>
  </si>
  <si>
    <t xml:space="preserve">Intermediate investment in cooperatives </t>
  </si>
  <si>
    <t>Other fixed assets/investments</t>
  </si>
  <si>
    <t>Investment in Cooperatives</t>
  </si>
  <si>
    <t>Other Investments (Stocks, Bonds, Securities, etc.)</t>
  </si>
  <si>
    <t>Total Other Investments :</t>
  </si>
  <si>
    <t>Total Other Intermediate and Fixed Assets:</t>
  </si>
  <si>
    <t>Fixed</t>
  </si>
  <si>
    <r>
      <t>Schedule L:  Investment in Cooperatives and Other Non-Current Investments/Assets (Intermediate and Fixed)</t>
    </r>
    <r>
      <rPr>
        <b/>
        <u/>
        <vertAlign val="superscript"/>
        <sz val="14"/>
        <color theme="1"/>
        <rFont val="Calibri"/>
        <family val="2"/>
        <scheme val="minor"/>
      </rPr>
      <t>1</t>
    </r>
  </si>
  <si>
    <t>Other Non-Current Assets (titled vehicles, etc.)</t>
  </si>
  <si>
    <t>Current Balances</t>
  </si>
  <si>
    <t>Long-Term Balances</t>
  </si>
  <si>
    <t>Intermediate Balances</t>
  </si>
  <si>
    <t>Other Liabilities - Notes and Contracts</t>
  </si>
  <si>
    <t>Other Liabilities - Other</t>
  </si>
  <si>
    <t>Schedule P:  Other Liabilities (notes, contracts and other)</t>
  </si>
  <si>
    <t>Total Other Liabilities:</t>
  </si>
  <si>
    <t>Total Notes and Contracts:</t>
  </si>
  <si>
    <t>Name of owner (for identifying the personal balance sheet)</t>
  </si>
  <si>
    <t>Year Ending:</t>
  </si>
  <si>
    <t>Date:</t>
  </si>
  <si>
    <t xml:space="preserve">Date: </t>
  </si>
  <si>
    <t>Ending Balance Sheet</t>
  </si>
  <si>
    <t>Non-Current Liabilities</t>
  </si>
  <si>
    <t>Beginning Owner Equity, Market Basis</t>
  </si>
  <si>
    <t xml:space="preserve">          Less change in deferred tax</t>
  </si>
  <si>
    <t>Date of current balance sheet (Ex: 12/31/18)</t>
  </si>
  <si>
    <t>Written documentation, oral agreement or some other arrangement?</t>
  </si>
  <si>
    <t>sched 
F</t>
  </si>
  <si>
    <t xml:space="preserve">  --------</t>
  </si>
  <si>
    <t>1a</t>
  </si>
  <si>
    <t>1b</t>
  </si>
  <si>
    <t xml:space="preserve">     Revenue from resale items</t>
  </si>
  <si>
    <t>line 5 - line 6</t>
  </si>
  <si>
    <t>1c</t>
  </si>
  <si>
    <t>Sales of livestock, grains, other raised products</t>
  </si>
  <si>
    <t xml:space="preserve">Cooperative distributions </t>
  </si>
  <si>
    <t>3b</t>
  </si>
  <si>
    <t>Agricultural program payments</t>
  </si>
  <si>
    <t>4b</t>
  </si>
  <si>
    <r>
      <t xml:space="preserve">CCC loans </t>
    </r>
    <r>
      <rPr>
        <sz val="10"/>
        <color theme="1"/>
        <rFont val="Calibri"/>
        <family val="2"/>
        <scheme val="minor"/>
      </rPr>
      <t>reported under election</t>
    </r>
  </si>
  <si>
    <t>5a</t>
  </si>
  <si>
    <t>CCC loans forfeited</t>
  </si>
  <si>
    <t>5c</t>
  </si>
  <si>
    <t>6b</t>
  </si>
  <si>
    <t>Custom work</t>
  </si>
  <si>
    <r>
      <t>Accrual Adjustment to Revenue</t>
    </r>
    <r>
      <rPr>
        <sz val="9"/>
        <color theme="1"/>
        <rFont val="Calibri"/>
        <family val="2"/>
        <scheme val="minor"/>
      </rPr>
      <t xml:space="preserve"> </t>
    </r>
  </si>
  <si>
    <t>Operating Expenses</t>
  </si>
  <si>
    <t>Car and truck expenses</t>
  </si>
  <si>
    <t>Chemicals</t>
  </si>
  <si>
    <t>interest</t>
  </si>
  <si>
    <t>Conservation expenses</t>
  </si>
  <si>
    <t>Custom hire (machine work)</t>
  </si>
  <si>
    <t>Purchased feed</t>
  </si>
  <si>
    <t>Fertilizers and lime</t>
  </si>
  <si>
    <t>Freight &amp; trucking</t>
  </si>
  <si>
    <t>Gasoline, fuel and oil</t>
  </si>
  <si>
    <t>Insurance (other than health)</t>
  </si>
  <si>
    <t>Rent/lease (vehicles, machinery, equipment)</t>
  </si>
  <si>
    <t>24a</t>
  </si>
  <si>
    <t>Rent/lease (land, animals, etc.)</t>
  </si>
  <si>
    <t>24b</t>
  </si>
  <si>
    <t>Labor hired</t>
  </si>
  <si>
    <t>Repairs and maintenance</t>
  </si>
  <si>
    <t>Seeds and plants</t>
  </si>
  <si>
    <t>Storage and warehousing</t>
  </si>
  <si>
    <t>Taxes (RE and personal property)</t>
  </si>
  <si>
    <t>Utilities</t>
  </si>
  <si>
    <t>Veterinary, breeding, and medicine</t>
  </si>
  <si>
    <t>Custom heifer raising, if separate</t>
  </si>
  <si>
    <t>Other</t>
  </si>
  <si>
    <t>32a</t>
  </si>
  <si>
    <t>32b</t>
  </si>
  <si>
    <t>32c-f</t>
  </si>
  <si>
    <t>PROFIT/LOSS</t>
  </si>
  <si>
    <t>21a,b</t>
  </si>
  <si>
    <t>Additional Financial Information</t>
  </si>
  <si>
    <t>Total Interest (cash + accrual)</t>
  </si>
  <si>
    <t>Ratio Scorecard</t>
  </si>
  <si>
    <t>Working Capital:Gross Revenue</t>
  </si>
  <si>
    <t>&lt;10%</t>
  </si>
  <si>
    <t>10%-30%</t>
  </si>
  <si>
    <t>&gt;30%</t>
  </si>
  <si>
    <t>&lt;20%</t>
  </si>
  <si>
    <t>&gt;50%</t>
  </si>
  <si>
    <t>Profitability</t>
  </si>
  <si>
    <t>Income From Operations</t>
  </si>
  <si>
    <t>Net Farm Income</t>
  </si>
  <si>
    <r>
      <t>Rate of Return on Assets</t>
    </r>
    <r>
      <rPr>
        <vertAlign val="superscript"/>
        <sz val="12"/>
        <color theme="1"/>
        <rFont val="Calibri"/>
        <family val="2"/>
        <scheme val="minor"/>
      </rPr>
      <t>1,2</t>
    </r>
    <r>
      <rPr>
        <sz val="12"/>
        <color theme="1"/>
        <rFont val="Calibri"/>
        <family val="2"/>
        <scheme val="minor"/>
      </rPr>
      <t xml:space="preserve"> </t>
    </r>
  </si>
  <si>
    <t>&lt;4%</t>
  </si>
  <si>
    <t>4%-8%</t>
  </si>
  <si>
    <t>&gt;8%</t>
  </si>
  <si>
    <r>
      <t>Rate of Return on Equity</t>
    </r>
    <r>
      <rPr>
        <vertAlign val="superscript"/>
        <sz val="12"/>
        <color theme="1"/>
        <rFont val="Calibri"/>
        <family val="2"/>
        <scheme val="minor"/>
      </rPr>
      <t>1</t>
    </r>
    <r>
      <rPr>
        <sz val="12"/>
        <color theme="1"/>
        <rFont val="Calibri"/>
        <family val="2"/>
        <scheme val="minor"/>
      </rPr>
      <t xml:space="preserve"> </t>
    </r>
  </si>
  <si>
    <t>&lt;3%</t>
  </si>
  <si>
    <t>3%-10%</t>
  </si>
  <si>
    <t>&gt;10%</t>
  </si>
  <si>
    <r>
      <t>Operating Profit Margin</t>
    </r>
    <r>
      <rPr>
        <vertAlign val="superscript"/>
        <sz val="12"/>
        <color theme="1"/>
        <rFont val="Calibri"/>
        <family val="2"/>
        <scheme val="minor"/>
      </rPr>
      <t>1</t>
    </r>
  </si>
  <si>
    <t>&lt;15%</t>
  </si>
  <si>
    <t>15%-25%</t>
  </si>
  <si>
    <t>&gt;25%</t>
  </si>
  <si>
    <t>EBITDA</t>
  </si>
  <si>
    <t>Question:  Is ROE &gt; ROA?</t>
  </si>
  <si>
    <t>Yes=good, No=problem</t>
  </si>
  <si>
    <t>Repayment Capacity</t>
  </si>
  <si>
    <t>Term Debt &amp; Lease Coverage Ratio</t>
  </si>
  <si>
    <t>&lt;1.25</t>
  </si>
  <si>
    <t>1.25-1.75</t>
  </si>
  <si>
    <t>&gt;1.75</t>
  </si>
  <si>
    <t>&lt;1.10</t>
  </si>
  <si>
    <t>1.10-1.50</t>
  </si>
  <si>
    <t>&gt;1.50</t>
  </si>
  <si>
    <t>Financial Efficiency</t>
  </si>
  <si>
    <t>30%-45%</t>
  </si>
  <si>
    <t>&gt;45%</t>
  </si>
  <si>
    <t>Depreciation Expense Ratio</t>
  </si>
  <si>
    <t>5%-10%</t>
  </si>
  <si>
    <t>&lt;5%</t>
  </si>
  <si>
    <t>Interest Expense Ratio</t>
  </si>
  <si>
    <t>10%-20%</t>
  </si>
  <si>
    <t>&gt;20%</t>
  </si>
  <si>
    <t>1</t>
  </si>
  <si>
    <t>2</t>
  </si>
  <si>
    <t>If assets are mostly owned then strong is &gt; 5%.  If mostly rented strong is &gt; 12%.  Another benchmark for ROA is that it should be higher than the rate of inflation and interest rate.</t>
  </si>
  <si>
    <t>3</t>
  </si>
  <si>
    <t>4</t>
  </si>
  <si>
    <t>5</t>
  </si>
  <si>
    <t>Weighted Average Interest Rate on All Debt</t>
  </si>
  <si>
    <t xml:space="preserve">Minus:  Income taxes </t>
  </si>
  <si>
    <t>Term Debt and Replacement Coverage Ratios and Margins</t>
  </si>
  <si>
    <t>Footnotes:</t>
  </si>
  <si>
    <t>Dupont System for Financial Analysis</t>
  </si>
  <si>
    <t>Factors Impacting Interest &amp; Leverage</t>
  </si>
  <si>
    <t>Interest</t>
  </si>
  <si>
    <t>DuPont Based on Adjusted ROA (Interest/TA)</t>
  </si>
  <si>
    <t>OPM</t>
  </si>
  <si>
    <t>X</t>
  </si>
  <si>
    <t>ROA</t>
  </si>
  <si>
    <t>Leverage</t>
  </si>
  <si>
    <t>ATO</t>
  </si>
  <si>
    <t>−</t>
  </si>
  <si>
    <t>Adj ROA (ROI)</t>
  </si>
  <si>
    <t>Debt:Cow</t>
  </si>
  <si>
    <t>int/TA</t>
  </si>
  <si>
    <t>ROE</t>
  </si>
  <si>
    <t>Debt:CWT</t>
  </si>
  <si>
    <t>Debt:CWTEQ</t>
  </si>
  <si>
    <t>TA/TE</t>
  </si>
  <si>
    <t>D:A</t>
  </si>
  <si>
    <t>ROA (rented)</t>
  </si>
  <si>
    <t>&gt;12%</t>
  </si>
  <si>
    <t>ROA (mixed)</t>
  </si>
  <si>
    <t>&lt;2%</t>
  </si>
  <si>
    <t>ROA (owned)</t>
  </si>
  <si>
    <t>&gt;5%</t>
  </si>
  <si>
    <t>ATO (rented)</t>
  </si>
  <si>
    <t>&lt;35%</t>
  </si>
  <si>
    <t>35%-50%</t>
  </si>
  <si>
    <t>ATO (mix)</t>
  </si>
  <si>
    <t>ATO (owned)</t>
  </si>
  <si>
    <t>20%-35%</t>
  </si>
  <si>
    <t>&gt;35%</t>
  </si>
  <si>
    <t>Caution</t>
  </si>
  <si>
    <t>&gt;8,000</t>
  </si>
  <si>
    <t>5,000-8,000</t>
  </si>
  <si>
    <t>&lt;5,000</t>
  </si>
  <si>
    <t>1 - 1.5</t>
  </si>
  <si>
    <t>&lt;1</t>
  </si>
  <si>
    <t>Investment/cow</t>
  </si>
  <si>
    <t>&lt;13,000</t>
  </si>
  <si>
    <t>Tillable acres per cow</t>
  </si>
  <si>
    <t>&lt;1.99</t>
  </si>
  <si>
    <t>Machinery investment per cow</t>
  </si>
  <si>
    <t>&gt;3,500</t>
  </si>
  <si>
    <t>2,500-3,500</t>
  </si>
  <si>
    <t>&lt;2,500</t>
  </si>
  <si>
    <t>&lt;18,000</t>
  </si>
  <si>
    <t>18,000-24,000</t>
  </si>
  <si>
    <t>&gt;24,000</t>
  </si>
  <si>
    <t>Gross cash income per cow</t>
  </si>
  <si>
    <t>&lt;3,000</t>
  </si>
  <si>
    <t>3,000-4,500</t>
  </si>
  <si>
    <t>&gt;4,500</t>
  </si>
  <si>
    <t>Interest costs per cow</t>
  </si>
  <si>
    <t>&gt;350</t>
  </si>
  <si>
    <t>270-350</t>
  </si>
  <si>
    <t>&lt;270</t>
  </si>
  <si>
    <t>&lt;200</t>
  </si>
  <si>
    <t>200-600</t>
  </si>
  <si>
    <t>&gt;600</t>
  </si>
  <si>
    <t>&gt;19.00</t>
  </si>
  <si>
    <t>17.49 - 19.00</t>
  </si>
  <si>
    <t>&lt;17.49</t>
  </si>
  <si>
    <t>David Kohl Dashboard Ratios</t>
  </si>
  <si>
    <t>Red</t>
  </si>
  <si>
    <t>Yellow</t>
  </si>
  <si>
    <t>Green</t>
  </si>
  <si>
    <t>30%-70%</t>
  </si>
  <si>
    <t>Working Capital:Revenue</t>
  </si>
  <si>
    <t>10%-33%</t>
  </si>
  <si>
    <t>&gt;33%</t>
  </si>
  <si>
    <t>Working Capital:Expenses</t>
  </si>
  <si>
    <t>Coverage Ratio</t>
  </si>
  <si>
    <t>&lt;125</t>
  </si>
  <si>
    <t>125-150</t>
  </si>
  <si>
    <t>&gt;150</t>
  </si>
  <si>
    <t>&lt;1 year</t>
  </si>
  <si>
    <t>1-3 yrs</t>
  </si>
  <si>
    <t>&gt;3 yrs</t>
  </si>
  <si>
    <t>&lt;1 yrs</t>
  </si>
  <si>
    <t>1-5 yrs</t>
  </si>
  <si>
    <t>&gt;5 yrs</t>
  </si>
  <si>
    <t>Cash:Current Assets</t>
  </si>
  <si>
    <t>5-15%</t>
  </si>
  <si>
    <t>&gt;15%</t>
  </si>
  <si>
    <t>&gt;7</t>
  </si>
  <si>
    <t xml:space="preserve"> 3-7</t>
  </si>
  <si>
    <t>&lt;3</t>
  </si>
  <si>
    <t>EBITDA Efficiency, EBITDA:TR</t>
  </si>
  <si>
    <t xml:space="preserve"> 10%-25%</t>
  </si>
  <si>
    <t xml:space="preserve"> 15%-25%</t>
  </si>
  <si>
    <t>AAA</t>
  </si>
  <si>
    <t>0-.5</t>
  </si>
  <si>
    <t>.51-1.00</t>
  </si>
  <si>
    <t>1.01-2.00</t>
  </si>
  <si>
    <t>Baa</t>
  </si>
  <si>
    <t>2.01-3.00</t>
  </si>
  <si>
    <t>Ba</t>
  </si>
  <si>
    <t>3.01-4.00</t>
  </si>
  <si>
    <t>4.01-6.00</t>
  </si>
  <si>
    <t>Caa</t>
  </si>
  <si>
    <t>6.01-8.00</t>
  </si>
  <si>
    <t>Ca</t>
  </si>
  <si>
    <t>&gt; 8.00</t>
  </si>
  <si>
    <t>Buildings</t>
  </si>
  <si>
    <t>Statement of Cash Flow</t>
  </si>
  <si>
    <t>Sales of lvstk, grains, &amp; other raised products</t>
  </si>
  <si>
    <t>Cooperative Distributions</t>
  </si>
  <si>
    <t>Government Program Payments &amp; Crop Ins.</t>
  </si>
  <si>
    <t>Interest expenses</t>
  </si>
  <si>
    <t>Income taxes</t>
  </si>
  <si>
    <t>Net Cash from Operating Activities:</t>
  </si>
  <si>
    <t>Net Cash from Investing Activities:</t>
  </si>
  <si>
    <t>Financing Activities</t>
  </si>
  <si>
    <t>Other cash inflow</t>
  </si>
  <si>
    <t>Other cash outflow</t>
  </si>
  <si>
    <t>Net Cash from Financing Activities:</t>
  </si>
  <si>
    <t>Difference, (Calculated - Actual):  should be zero</t>
  </si>
  <si>
    <t>Reconciliation of Net Income to Net Cash from Operating Activities:</t>
  </si>
  <si>
    <t>Net Accrual Income</t>
  </si>
  <si>
    <t>Income Statement Adjustments:</t>
  </si>
  <si>
    <t xml:space="preserve"> +</t>
  </si>
  <si>
    <t xml:space="preserve"> -</t>
  </si>
  <si>
    <t xml:space="preserve">     Sales of breeding livestock</t>
  </si>
  <si>
    <t xml:space="preserve">     Gain/Loss from Capital Asset Sales</t>
  </si>
  <si>
    <t xml:space="preserve">     Non-Farm Expenses</t>
  </si>
  <si>
    <t>Accrual Adjustments Back to Cash:</t>
  </si>
  <si>
    <t xml:space="preserve">     Revenue Accrual Adjustment</t>
  </si>
  <si>
    <t xml:space="preserve">     Expense Accrual Adj, Unused Assets</t>
  </si>
  <si>
    <t xml:space="preserve">     Expense Accrual Adj, Unpaid Items</t>
  </si>
  <si>
    <t xml:space="preserve">     Expense Accrual Adj, Accrued Interest</t>
  </si>
  <si>
    <t xml:space="preserve"> + </t>
  </si>
  <si>
    <t xml:space="preserve">     Expense Accrual Adj, Income Taxes</t>
  </si>
  <si>
    <t>Difference (Total - Net from Operating)
Should be zero</t>
  </si>
  <si>
    <t xml:space="preserve">Subtotal: </t>
  </si>
  <si>
    <t>Labor, hired</t>
  </si>
  <si>
    <t>Labor, unpaid</t>
  </si>
  <si>
    <t xml:space="preserve">Total Labor </t>
  </si>
  <si>
    <t>Term Debt Service</t>
  </si>
  <si>
    <t xml:space="preserve"> --</t>
  </si>
  <si>
    <t>Cash from Operating Activities</t>
  </si>
  <si>
    <t>Years it takes to turn Assets over</t>
  </si>
  <si>
    <t>&lt;2.2</t>
  </si>
  <si>
    <t>&gt;3.3</t>
  </si>
  <si>
    <t>2.2-3.3</t>
  </si>
  <si>
    <t>13,000-20,000</t>
  </si>
  <si>
    <t>&gt;20,000</t>
  </si>
  <si>
    <t>1.99-3</t>
  </si>
  <si>
    <t>&gt;3</t>
  </si>
  <si>
    <t>Net cash farm income per cow</t>
  </si>
  <si>
    <t>Accrual Adjustments for Accrued Interest</t>
  </si>
  <si>
    <t>Form 4797</t>
  </si>
  <si>
    <r>
      <t>Gain (Loss) on Capital Asset Sales</t>
    </r>
    <r>
      <rPr>
        <sz val="10"/>
        <color theme="1"/>
        <rFont val="Calibri"/>
        <family val="2"/>
        <scheme val="minor"/>
      </rPr>
      <t xml:space="preserve"> (not including breeding lvstk)</t>
    </r>
  </si>
  <si>
    <t xml:space="preserve">     less cost (tax basis) of resale items</t>
  </si>
  <si>
    <t xml:space="preserve">     Other Farm Income</t>
  </si>
  <si>
    <t xml:space="preserve">Total Current Balance </t>
  </si>
  <si>
    <t>Principal Due Next 12 Months</t>
  </si>
  <si>
    <t>Principal Due in the Intermediate term (2-10 years)</t>
  </si>
  <si>
    <t>Principal Due in Long-term, Beyond 10 Years</t>
  </si>
  <si>
    <t>Schedule H: Purchased Breeding Livestock or Raised Breeding Livestock with Capitalized Costs</t>
  </si>
  <si>
    <t>Cash Income Statement</t>
  </si>
  <si>
    <t>Accrual Income Statement</t>
  </si>
  <si>
    <t>Accrual Adjustment for Unused Assets</t>
  </si>
  <si>
    <t>Accrual Adjustment for Unpaid Items</t>
  </si>
  <si>
    <t>Total Operating Expenses</t>
  </si>
  <si>
    <t xml:space="preserve">Marketing </t>
  </si>
  <si>
    <t>Accrual Adjustments for Income Taxes</t>
  </si>
  <si>
    <t>Net Income</t>
  </si>
  <si>
    <t>Total Interest Expenses</t>
  </si>
  <si>
    <t>Total Operating Expenses before interest &amp; depreciation</t>
  </si>
  <si>
    <t>Net Farm Income From Operations (NFIFO)</t>
  </si>
  <si>
    <t>Year Being Analyzed:</t>
  </si>
  <si>
    <t>Description of Machinery/Equipment</t>
  </si>
  <si>
    <t>Original Acquisition Cost</t>
  </si>
  <si>
    <t>End of the Year Cost/Book Value</t>
  </si>
  <si>
    <t>Economic Depreciation This Year</t>
  </si>
  <si>
    <t>Year</t>
  </si>
  <si>
    <t>Estimated Salvage Value</t>
  </si>
  <si>
    <t xml:space="preserve">Useful Life </t>
  </si>
  <si>
    <t>Terminal Month</t>
  </si>
  <si>
    <t>Terminal Year</t>
  </si>
  <si>
    <t>Other Depreciable Assets</t>
  </si>
  <si>
    <t>Year Being Analyzed</t>
  </si>
  <si>
    <t>See Note 1 Below</t>
  </si>
  <si>
    <t>Balance Sheet and Income Statement Entries</t>
  </si>
  <si>
    <t>Description of Leased Asset
(Each leased item is a separate row)</t>
  </si>
  <si>
    <t>Year Lease Started
(YYYY)</t>
  </si>
  <si>
    <r>
      <t>Month that the Lease Began, 
1-12 where
Jan = 1
Feb = 2, Ect.</t>
    </r>
    <r>
      <rPr>
        <vertAlign val="superscript"/>
        <sz val="11"/>
        <color theme="1"/>
        <rFont val="Calibri"/>
        <family val="2"/>
        <scheme val="minor"/>
      </rPr>
      <t>1</t>
    </r>
  </si>
  <si>
    <t>Lease Length in Years</t>
  </si>
  <si>
    <t>Current Liability</t>
  </si>
  <si>
    <t>Accrued Interest</t>
  </si>
  <si>
    <t>Non-Current Liability</t>
  </si>
  <si>
    <t>Asset Value</t>
  </si>
  <si>
    <t>Principal Pmt</t>
  </si>
  <si>
    <t>Interest Pmt</t>
  </si>
  <si>
    <t>Total Pmt</t>
  </si>
  <si>
    <t>Description of Leased Item</t>
  </si>
  <si>
    <t>Annual Interest Rate</t>
  </si>
  <si>
    <t>Lease Length (Years)</t>
  </si>
  <si>
    <t>Month the Lease was started (Jan=1, etc.)</t>
  </si>
  <si>
    <t>Annual Lease Payment</t>
  </si>
  <si>
    <t>End of Year Balance Sheet Entries</t>
  </si>
  <si>
    <t>Income Taxes</t>
  </si>
  <si>
    <t>Accrual adjustments are based off of the Market Basis Balance Sheet for all items except Raised Breeding Livestock, which is based off of the Cost Basis Balance Sheet.</t>
  </si>
  <si>
    <t>ACCRUAL</t>
  </si>
  <si>
    <t>CASH</t>
  </si>
  <si>
    <t xml:space="preserve">   Cash Operating Expenses plus interest &amp; depreciation</t>
  </si>
  <si>
    <t xml:space="preserve">   Total Cash Expenses plus depreciation</t>
  </si>
  <si>
    <t xml:space="preserve">   Basic Costs (not including: interest, depr, labor)</t>
  </si>
  <si>
    <r>
      <t xml:space="preserve">   Total Cash Exp. </t>
    </r>
    <r>
      <rPr>
        <sz val="9"/>
        <color theme="1"/>
        <rFont val="Calibri"/>
        <family val="2"/>
        <scheme val="minor"/>
      </rPr>
      <t xml:space="preserve"> (w/o depr, with int., other farm, non-farm &amp; taxes)</t>
    </r>
  </si>
  <si>
    <t>Depreciation, Tax</t>
  </si>
  <si>
    <t>Depreciation, Economic</t>
  </si>
  <si>
    <t>Beginning Balance Sheet</t>
  </si>
  <si>
    <t>Incoming Cash From:</t>
  </si>
  <si>
    <t>Hedging</t>
  </si>
  <si>
    <t>Purchase of resale items</t>
  </si>
  <si>
    <t>Operating loans</t>
  </si>
  <si>
    <t>Term debt financing</t>
  </si>
  <si>
    <t>Other farm Income</t>
  </si>
  <si>
    <t>Non-farm Income</t>
  </si>
  <si>
    <t>Capital contributions</t>
  </si>
  <si>
    <t>Principal payment on term debt loans</t>
  </si>
  <si>
    <t>Principal payment of operating loans</t>
  </si>
  <si>
    <t>Other farm expenses</t>
  </si>
  <si>
    <t>Non-farm expenses</t>
  </si>
  <si>
    <t>Owner withdrawals and disbursements</t>
  </si>
  <si>
    <t>Outgoing Cash For:</t>
  </si>
  <si>
    <t xml:space="preserve">     Depreciation, Economic</t>
  </si>
  <si>
    <t>Total $$</t>
  </si>
  <si>
    <t>Accrual</t>
  </si>
  <si>
    <t xml:space="preserve">    Income From Operations</t>
  </si>
  <si>
    <t xml:space="preserve">    Net Farm Income</t>
  </si>
  <si>
    <t xml:space="preserve">    Net Income</t>
  </si>
  <si>
    <t xml:space="preserve">    Total Revenue</t>
  </si>
  <si>
    <t>Cash</t>
  </si>
  <si>
    <t>Breeding livestock sales</t>
  </si>
  <si>
    <t>Machinery &amp; equipment sales</t>
  </si>
  <si>
    <t>Breeding livestock purchases</t>
  </si>
  <si>
    <t>Machinery &amp; equipment purchases</t>
  </si>
  <si>
    <t>Per Day</t>
  </si>
  <si>
    <t>% of Revenue</t>
  </si>
  <si>
    <t>From Ending BS</t>
  </si>
  <si>
    <t>Total Liabilities/Revenue</t>
  </si>
  <si>
    <t>Total Accrual Cost of production per cwt</t>
  </si>
  <si>
    <t>Total Accrual Cost of production per cwteq</t>
  </si>
  <si>
    <t>Total Accrual COP, residual claimant</t>
  </si>
  <si>
    <t>Total Liabilities:EBITDA</t>
  </si>
  <si>
    <t>FOOTNOTES</t>
  </si>
  <si>
    <r>
      <t xml:space="preserve">Analysis of a Single Leased Item That Shows a Schedule for All Years of the Lease for that Single Item
</t>
    </r>
    <r>
      <rPr>
        <sz val="12"/>
        <color theme="1"/>
        <rFont val="Calibri"/>
        <family val="2"/>
        <scheme val="minor"/>
      </rPr>
      <t>(Based on the first lease payment at the beginning of the lease.  This table is not applicable for lease payments made at the end of the year.)</t>
    </r>
  </si>
  <si>
    <t>Depreciation Expense</t>
  </si>
  <si>
    <t>Machinery and Equipment</t>
  </si>
  <si>
    <t xml:space="preserve">   + Purchases</t>
  </si>
  <si>
    <t xml:space="preserve">   - Sales</t>
  </si>
  <si>
    <t xml:space="preserve"> = Depreciable amount</t>
  </si>
  <si>
    <t>TOTAL ESTIMATED ECONOMIC DEPRECIATION</t>
  </si>
  <si>
    <t>Minus:  Owner withdrawal</t>
  </si>
  <si>
    <t>Repayment and Replacement</t>
  </si>
  <si>
    <r>
      <t>Available Earnings</t>
    </r>
    <r>
      <rPr>
        <b/>
        <vertAlign val="superscript"/>
        <sz val="11"/>
        <color theme="1"/>
        <rFont val="Calibri"/>
        <family val="2"/>
        <scheme val="minor"/>
      </rPr>
      <t>1</t>
    </r>
  </si>
  <si>
    <t>Family Living:EBITDA</t>
  </si>
  <si>
    <t>Beginning of Year Balance Sheet Value</t>
  </si>
  <si>
    <t xml:space="preserve">Operating Interest  </t>
  </si>
  <si>
    <t xml:space="preserve">Term Interest  </t>
  </si>
  <si>
    <t>Plus:  Depreciation</t>
  </si>
  <si>
    <t>Number of full-time equivalent (FTE) owners</t>
  </si>
  <si>
    <t>Resale Items (items purchased for later resale)</t>
  </si>
  <si>
    <t xml:space="preserve">     Sale of purchased livestock &amp; other resale items</t>
  </si>
  <si>
    <t>Crop insurance proceeds/disaster payments received</t>
  </si>
  <si>
    <t>EBITDA (earnings before interest, taxes, depreciation, amort.)</t>
  </si>
  <si>
    <t>Total Accrual Adjustments to Net Cash Income</t>
  </si>
  <si>
    <t>Beginning Inventory</t>
  </si>
  <si>
    <t>Ending  Inventory</t>
  </si>
  <si>
    <t>Estimated Depreciation=Depreciable amount * .10</t>
  </si>
  <si>
    <t>Estimated Depreciation=Depreciable amount * .05</t>
  </si>
  <si>
    <t>Estimated Depreciation=Depreciable amount * .20</t>
  </si>
  <si>
    <t>Real Estate, personal residence</t>
  </si>
  <si>
    <t>Real Estate, land &amp; improvements</t>
  </si>
  <si>
    <t>Real Estate, buildings &amp; improvements</t>
  </si>
  <si>
    <r>
      <t xml:space="preserve">Accrued interest, </t>
    </r>
    <r>
      <rPr>
        <sz val="10"/>
        <color theme="1"/>
        <rFont val="Calibri"/>
        <family val="2"/>
        <scheme val="minor"/>
      </rPr>
      <t>term loans &amp; loss carryover</t>
    </r>
  </si>
  <si>
    <t>Other long-term liabilities</t>
  </si>
  <si>
    <t>Other intermediate liabilities</t>
  </si>
  <si>
    <r>
      <t xml:space="preserve">General Farm and Financial Information
</t>
    </r>
    <r>
      <rPr>
        <sz val="14"/>
        <color theme="1"/>
        <rFont val="Calibri"/>
        <family val="2"/>
        <scheme val="minor"/>
      </rPr>
      <t xml:space="preserve">This tab contains required information that will be used in other tabs.  Any cells left blank will be carried over as a zero value.  </t>
    </r>
  </si>
  <si>
    <t>User entry in yellow-shaded cells only.</t>
  </si>
  <si>
    <t>Total acres of cash crops</t>
  </si>
  <si>
    <t>Estimated total hundredweights of milk sold, cwt</t>
  </si>
  <si>
    <t>Average head of beef cattle sold, head</t>
  </si>
  <si>
    <t>Average price received for beef cattle, $ per pound</t>
  </si>
  <si>
    <r>
      <rPr>
        <u/>
        <sz val="11"/>
        <color theme="1"/>
        <rFont val="Calibri"/>
        <family val="2"/>
        <scheme val="minor"/>
      </rPr>
      <t>Market Basis BS</t>
    </r>
    <r>
      <rPr>
        <sz val="11"/>
        <color theme="1"/>
        <rFont val="Calibri"/>
        <family val="2"/>
        <scheme val="minor"/>
      </rPr>
      <t xml:space="preserve">
Total Market Value</t>
    </r>
  </si>
  <si>
    <r>
      <rPr>
        <u/>
        <sz val="11"/>
        <color theme="1"/>
        <rFont val="Calibri"/>
        <family val="2"/>
        <scheme val="minor"/>
      </rPr>
      <t>Market Basis BS</t>
    </r>
    <r>
      <rPr>
        <sz val="11"/>
        <color theme="1"/>
        <rFont val="Calibri"/>
        <family val="2"/>
        <scheme val="minor"/>
      </rPr>
      <t xml:space="preserve">
Use Market Value</t>
    </r>
  </si>
  <si>
    <t xml:space="preserve">   - Sales (purchased breeding livestock only)</t>
  </si>
  <si>
    <t>Gain (Loss) due to Base Value price change</t>
  </si>
  <si>
    <t>BS Sched G</t>
  </si>
  <si>
    <t>IS Sched 1</t>
  </si>
  <si>
    <t>Primary Sales Product:</t>
  </si>
  <si>
    <t>Costs of Production (COP)</t>
  </si>
  <si>
    <t>COP Metric:</t>
  </si>
  <si>
    <r>
      <t>$ per unitEQ</t>
    </r>
    <r>
      <rPr>
        <b/>
        <vertAlign val="superscript"/>
        <sz val="11"/>
        <color theme="1"/>
        <rFont val="Calibri"/>
        <family val="2"/>
        <scheme val="minor"/>
      </rPr>
      <t>1</t>
    </r>
  </si>
  <si>
    <r>
      <t>Residual Claimant</t>
    </r>
    <r>
      <rPr>
        <b/>
        <vertAlign val="superscript"/>
        <sz val="11"/>
        <color theme="1"/>
        <rFont val="Calibri"/>
        <family val="2"/>
        <scheme val="minor"/>
      </rPr>
      <t>2</t>
    </r>
  </si>
  <si>
    <t>Minus:  Operating interest</t>
  </si>
  <si>
    <r>
      <t>Operating Exp Ratio including unpaid labor and mgt</t>
    </r>
    <r>
      <rPr>
        <vertAlign val="superscript"/>
        <sz val="9"/>
        <color theme="1"/>
        <rFont val="Calibri"/>
        <family val="2"/>
        <scheme val="minor"/>
      </rPr>
      <t>3</t>
    </r>
  </si>
  <si>
    <t xml:space="preserve">    Total Revenue from Primary Product</t>
  </si>
  <si>
    <t>Estimated Average Interest Rate</t>
  </si>
  <si>
    <t>Milk sold per cow (pounds per year)</t>
  </si>
  <si>
    <r>
      <t>Dairy Industry Benchmarks</t>
    </r>
    <r>
      <rPr>
        <b/>
        <vertAlign val="superscript"/>
        <sz val="11"/>
        <color theme="1"/>
        <rFont val="Calibri"/>
        <family val="2"/>
        <scheme val="minor"/>
      </rPr>
      <t>2</t>
    </r>
  </si>
  <si>
    <r>
      <t xml:space="preserve"> 2</t>
    </r>
    <r>
      <rPr>
        <sz val="11"/>
        <color theme="1"/>
        <rFont val="Calibri"/>
        <family val="2"/>
        <scheme val="minor"/>
      </rPr>
      <t xml:space="preserve"> Sourced from information presented by Gary Sipiorski</t>
    </r>
  </si>
  <si>
    <r>
      <t>Burn Rate on Working Capital</t>
    </r>
    <r>
      <rPr>
        <vertAlign val="superscript"/>
        <sz val="11"/>
        <color theme="1"/>
        <rFont val="Calibri"/>
        <family val="2"/>
        <scheme val="minor"/>
      </rPr>
      <t>3</t>
    </r>
  </si>
  <si>
    <r>
      <t>Burn Rate on Scheduled Debt Service</t>
    </r>
    <r>
      <rPr>
        <vertAlign val="superscript"/>
        <sz val="11"/>
        <color theme="1"/>
        <rFont val="Calibri"/>
        <family val="2"/>
        <scheme val="minor"/>
      </rPr>
      <t>4</t>
    </r>
  </si>
  <si>
    <r>
      <t>Debt Efficiency, Term Debt:EBITDA</t>
    </r>
    <r>
      <rPr>
        <vertAlign val="superscript"/>
        <sz val="11"/>
        <color theme="1"/>
        <rFont val="Calibri"/>
        <family val="2"/>
        <scheme val="minor"/>
      </rPr>
      <t>5</t>
    </r>
  </si>
  <si>
    <r>
      <t xml:space="preserve"> </t>
    </r>
    <r>
      <rPr>
        <vertAlign val="superscript"/>
        <sz val="11"/>
        <color theme="1"/>
        <rFont val="Calibri"/>
        <family val="2"/>
        <scheme val="minor"/>
      </rPr>
      <t>3</t>
    </r>
    <r>
      <rPr>
        <sz val="11"/>
        <color theme="1"/>
        <rFont val="Calibri"/>
        <family val="2"/>
        <scheme val="minor"/>
      </rPr>
      <t xml:space="preserve">  Working Capital/negative NFIFO: If NFIFO&lt;0 then how many years will it take for the same level of negative profits to burn through current working capital</t>
    </r>
  </si>
  <si>
    <r>
      <t xml:space="preserve"> </t>
    </r>
    <r>
      <rPr>
        <vertAlign val="superscript"/>
        <sz val="11"/>
        <color theme="1"/>
        <rFont val="Calibri"/>
        <family val="2"/>
        <scheme val="minor"/>
      </rPr>
      <t>4</t>
    </r>
    <r>
      <rPr>
        <sz val="11"/>
        <color theme="1"/>
        <rFont val="Calibri"/>
        <family val="2"/>
        <scheme val="minor"/>
      </rPr>
      <t xml:space="preserve">  Working Capital/Term Debt Service: How many years will current working capital by itself support term debt service (including operating interest)</t>
    </r>
  </si>
  <si>
    <r>
      <t xml:space="preserve"> </t>
    </r>
    <r>
      <rPr>
        <vertAlign val="superscript"/>
        <sz val="11"/>
        <color theme="1"/>
        <rFont val="Calibri"/>
        <family val="2"/>
        <scheme val="minor"/>
      </rPr>
      <t>5</t>
    </r>
    <r>
      <rPr>
        <sz val="11"/>
        <color theme="1"/>
        <rFont val="Calibri"/>
        <family val="2"/>
        <scheme val="minor"/>
      </rPr>
      <t xml:space="preserve"> Term Debt:EBITDA is more comparable across operations as it takes out the potentially distorting values of interest, taxes and depreciation.</t>
    </r>
  </si>
  <si>
    <t xml:space="preserve">From article by Mike Boehlje.  This ratio is an alternative early indicator of financial stress (potential improvement on the D:A ratio) that provides a measure that is comparable on the Moody's rating matrix below.  Rating of B or lower is significant risk, Ca or lower (&gt; 8.00) is near default. </t>
  </si>
  <si>
    <t>Note:  TA/TE = 1/(1-D:A)</t>
  </si>
  <si>
    <t>Debt:Asset     (average of Beg &amp; End BS)</t>
  </si>
  <si>
    <t>Equity:Asset  (average of Beg &amp; End BS)</t>
  </si>
  <si>
    <t>Debt:Equity  (average of Beg &amp; End BS)</t>
  </si>
  <si>
    <t>interest:Total Revenue</t>
  </si>
  <si>
    <t>interest:Total Assets</t>
  </si>
  <si>
    <t>interest:Total Expenses</t>
  </si>
  <si>
    <t>interest per sales unit</t>
  </si>
  <si>
    <r>
      <t>interest per unitEQ</t>
    </r>
    <r>
      <rPr>
        <vertAlign val="superscript"/>
        <sz val="11"/>
        <color theme="1"/>
        <rFont val="Calibri"/>
        <family val="2"/>
        <scheme val="minor"/>
      </rPr>
      <t>1</t>
    </r>
  </si>
  <si>
    <t xml:space="preserve">     Less other withdrawals (beyond unpaid labor &amp; mgt)</t>
  </si>
  <si>
    <t>Sales and Purchases of Capital Assets</t>
  </si>
  <si>
    <t>Purchases</t>
  </si>
  <si>
    <t>Year:</t>
  </si>
  <si>
    <r>
      <t xml:space="preserve">Statement of Owner Equity
</t>
    </r>
    <r>
      <rPr>
        <b/>
        <sz val="14"/>
        <color theme="1"/>
        <rFont val="Calibri"/>
        <family val="2"/>
        <scheme val="minor"/>
      </rPr>
      <t>Based on Market Basis BS and Accrual Income Statement</t>
    </r>
  </si>
  <si>
    <t>Economic Depreciation Schedule</t>
  </si>
  <si>
    <t>Year Purchased 
YYYY</t>
  </si>
  <si>
    <t>Principal Paid</t>
  </si>
  <si>
    <t>Interest Paid</t>
  </si>
  <si>
    <t>Total Payment</t>
  </si>
  <si>
    <t>Annual Payments After Initial Payment</t>
  </si>
  <si>
    <t>OPM:</t>
  </si>
  <si>
    <t>ATO:</t>
  </si>
  <si>
    <t>D:A:</t>
  </si>
  <si>
    <t>ROA:</t>
  </si>
  <si>
    <t>int/TA:</t>
  </si>
  <si>
    <t>ROI:</t>
  </si>
  <si>
    <t>TA/TE:</t>
  </si>
  <si>
    <t>ROE:</t>
  </si>
  <si>
    <t>Operating Profit Margin Ratio</t>
  </si>
  <si>
    <t>Asset Turnover Ratio</t>
  </si>
  <si>
    <t>Debt (total liabilities) divided by Assets (total assets)</t>
  </si>
  <si>
    <t>Return on Assets</t>
  </si>
  <si>
    <t>Return on Investment</t>
  </si>
  <si>
    <t>Total Assets divided by Total Equity</t>
  </si>
  <si>
    <t>Return on Equity</t>
  </si>
  <si>
    <t>interest divided by Total Assets</t>
  </si>
  <si>
    <t>Rented: &lt;30% ownership;     Mix: 30%-70% ownership;     Owned: &gt;70% ownership</t>
  </si>
  <si>
    <t xml:space="preserve">     unitEQ =  Unit Equivalent.  This is a method of adjusting for expenses used for other than the primary product.  The method creates a unit equivalent value by dividing total farm income by the price of the primary product.  In so doing the unitEQ is greater than the actual sales units produced.  It is an estimate of how many sales units it would take to produce the same level of total income.  Thus, dividing costs by the unitEQ adjusts to a closer value of the actual costs of production for the primary product only.  The best method by far is to separate costs for producing the primary product from all other costs and then divide by actual units of the primary product produced.  unitEQ is only an estimate.
      Using milk as an example, milk sales are in hundredweights (cwt).  Thus, the Hundredweight Equivalent (cwtEQ) adjusts cost of production to estimate milk costs of production only.  The cwtEQ is calculated my dividing total farm income by a milk price (e.g., mailbox or all milk price).  In so doing the cwtEQ is greater than the actual hundredweight produced.  It is an estimate of how many hundredweights of milk it would take to produce the same level of total income without the non-milk income included.  Thus, dividing costs by the cwtEQ adjusts to a closer value of the actual costs of production from milk only.  </t>
  </si>
  <si>
    <r>
      <t xml:space="preserve">  </t>
    </r>
    <r>
      <rPr>
        <vertAlign val="superscript"/>
        <sz val="11"/>
        <color theme="1"/>
        <rFont val="Calibri"/>
        <family val="2"/>
        <scheme val="minor"/>
      </rPr>
      <t>1</t>
    </r>
    <r>
      <rPr>
        <sz val="11"/>
        <color theme="1"/>
        <rFont val="Calibri"/>
        <family val="2"/>
        <scheme val="minor"/>
      </rPr>
      <t xml:space="preserve">    unitEQ =  Unit Equivalent.  This is a method of adjusting for expenses used for other than the primary product.  The method creates a unit equivalent value by dividing total farm income by the price of the primary product.  In so doing the unitEQ is greater than the actual sales units produced.  It is an estimate of how many sales units it would take to produce the same level of total income.  Thus, dividing costs by the unitEQ adjusts to a closer value of the actual costs of production for the primary product only.  The best method by far is to separate costs for producing the primary product from all other costs and then divide by actual units of the primary product produced.  unitEQ is only an estimate.
      Using milk as an example, milk sales are in hundredweights (cwt).  Thus, the Hundredweight Equivalent (cwtEQ) adjusts cost of production to estimate milk costs of production only.  The cwtEQ is calculated my dividing total farm income by a milk price (e.g., mailbox or all milk price).  In so doing the cwtEQ is greater than the actual hundredweight produced.  It is an estimate of how many hundredweights of milk it would take to produce the same level of total income without the non-milk income included.  Thus, dividing costs by the cwtEQ adjusts to a closer value of the actual costs of production from milk only.  </t>
    </r>
  </si>
  <si>
    <t>Actual Sales of beef cattle, $</t>
  </si>
  <si>
    <t>Year End Balance</t>
  </si>
  <si>
    <t xml:space="preserve">     Percent of capital purchases financed by owners</t>
  </si>
  <si>
    <t>Unimproved (non-depreciable) land sales</t>
  </si>
  <si>
    <t>Depreciable building and land improvement sales</t>
  </si>
  <si>
    <t>Unimproved (non-depreciable) land purchases</t>
  </si>
  <si>
    <t>Depreciable building and land improvement purchases</t>
  </si>
  <si>
    <t>Individual Item Costs of Production</t>
  </si>
  <si>
    <r>
      <t xml:space="preserve">Schedule I: Machinery and Equipment </t>
    </r>
    <r>
      <rPr>
        <b/>
        <u/>
        <vertAlign val="superscript"/>
        <sz val="14"/>
        <color theme="1"/>
        <rFont val="Calibri"/>
        <family val="2"/>
        <scheme val="minor"/>
      </rPr>
      <t>1</t>
    </r>
  </si>
  <si>
    <r>
      <t xml:space="preserve"> </t>
    </r>
    <r>
      <rPr>
        <vertAlign val="superscript"/>
        <sz val="11"/>
        <color theme="1"/>
        <rFont val="Calibri"/>
        <family val="2"/>
        <scheme val="minor"/>
      </rPr>
      <t>1</t>
    </r>
    <r>
      <rPr>
        <sz val="11"/>
        <color theme="1"/>
        <rFont val="Calibri"/>
        <family val="2"/>
        <scheme val="minor"/>
      </rPr>
      <t xml:space="preserve">   The "Depreciation Schedule" tab provides  a table specifically for recording and calculating capital asset values, accumulated depreciation, and book value</t>
    </r>
  </si>
  <si>
    <r>
      <t xml:space="preserve">Schedule J:  Real Estate (land, buildings, and improvements) </t>
    </r>
    <r>
      <rPr>
        <b/>
        <u/>
        <vertAlign val="superscript"/>
        <sz val="14"/>
        <color theme="1"/>
        <rFont val="Calibri"/>
        <family val="2"/>
        <scheme val="minor"/>
      </rPr>
      <t>1</t>
    </r>
  </si>
  <si>
    <r>
      <t>Schedule K: Leased Assets</t>
    </r>
    <r>
      <rPr>
        <b/>
        <u/>
        <vertAlign val="superscript"/>
        <sz val="14"/>
        <color theme="1"/>
        <rFont val="Calibri"/>
        <family val="2"/>
        <scheme val="minor"/>
      </rPr>
      <t>1,2</t>
    </r>
  </si>
  <si>
    <r>
      <t xml:space="preserve">Term Loans for Intermediate Assets
 - </t>
    </r>
    <r>
      <rPr>
        <sz val="11"/>
        <color theme="1"/>
        <rFont val="Calibri"/>
        <family val="2"/>
        <scheme val="minor"/>
      </rPr>
      <t>machinery, equipment, breeding livestock
 - unpaid operating (aka loss carryover)</t>
    </r>
  </si>
  <si>
    <r>
      <t xml:space="preserve">Term Loans for Fixed Assets
</t>
    </r>
    <r>
      <rPr>
        <sz val="11"/>
        <color theme="1"/>
        <rFont val="Calibri"/>
        <family val="2"/>
        <scheme val="minor"/>
      </rPr>
      <t xml:space="preserve"> - Mortgage &amp; Land Contracts</t>
    </r>
  </si>
  <si>
    <t>Net Cash from Operating Activities</t>
  </si>
  <si>
    <t>Operating expenses (not including depreciation)</t>
  </si>
  <si>
    <t xml:space="preserve">Unpaid labor and management is part of the calculation of this ratio.  It is based on a user-provided estimate on the 'Input Sheet' tab.  </t>
  </si>
  <si>
    <t>External contributions made to the farm business this year, $</t>
  </si>
  <si>
    <t>Based on user provided percent of each expense that was for production of primary product</t>
  </si>
  <si>
    <t>Total paid labor, family and non-family, (from Income Statement)</t>
  </si>
  <si>
    <t>Actual Sales of raised cash crops other than corn and soybeans, $</t>
  </si>
  <si>
    <t>Economic Depreciation Expense based on change in Accumulated Depreciation from previous year</t>
  </si>
  <si>
    <t>Non-feed expenses (vet, breeding, bedding, custom heifer)</t>
  </si>
  <si>
    <t>Total depreciable capital asset purchases</t>
  </si>
  <si>
    <t>Total Term Loan Balances</t>
  </si>
  <si>
    <t>Milk production per cow, pounds per cow per day, pounds</t>
  </si>
  <si>
    <t>Earnings available for family living withdrawal, income taxes, debt service, new investment/capital replacement, and other farm or non-farm expenses to be paid by the farm business.</t>
  </si>
  <si>
    <t>Purchased Breeding livestock purchases</t>
  </si>
  <si>
    <t>New Term Loans this year</t>
  </si>
  <si>
    <r>
      <t>Difference (Actual - Sources)     should be zero</t>
    </r>
    <r>
      <rPr>
        <b/>
        <vertAlign val="superscript"/>
        <sz val="11"/>
        <color theme="1"/>
        <rFont val="Calibri"/>
        <family val="2"/>
        <scheme val="minor"/>
      </rPr>
      <t>1</t>
    </r>
  </si>
  <si>
    <t>2%-5%</t>
  </si>
  <si>
    <t>5%-12%</t>
  </si>
  <si>
    <t>Capitalized Value (PV of lease payments)</t>
  </si>
  <si>
    <t>Capitalized Value
Present Value (PV)</t>
  </si>
  <si>
    <r>
      <t>Initial or Advanced Payment</t>
    </r>
    <r>
      <rPr>
        <vertAlign val="superscript"/>
        <sz val="11"/>
        <color theme="1"/>
        <rFont val="Calibri"/>
        <family val="2"/>
        <scheme val="minor"/>
      </rPr>
      <t>2</t>
    </r>
  </si>
  <si>
    <t>Current portion, term loans &amp; loss carryover</t>
  </si>
  <si>
    <t>Operating loans (non-term)</t>
  </si>
  <si>
    <t>Profit Goal:</t>
  </si>
  <si>
    <t>Positive number means the Balance Sheet shows more equity than accounted for by sources of owner equity.  
Negative number means the Balance Sheet shows less equity than accounted for by the sources of owner equity.</t>
  </si>
  <si>
    <t>Green-shaded is the current situation.</t>
  </si>
  <si>
    <t>15,22,23</t>
  </si>
  <si>
    <t>Net Change in Cash, sum rows 16, 30 and 47</t>
  </si>
  <si>
    <t>Cash at Beginning of Year, from Beginning Balance Sheet</t>
  </si>
  <si>
    <t>Actual Ending Cash, from Ending Balance Sheet</t>
  </si>
  <si>
    <t>Accrual Adjusted Income Statement</t>
  </si>
  <si>
    <r>
      <t xml:space="preserve">Farm's </t>
    </r>
    <r>
      <rPr>
        <b/>
        <u/>
        <sz val="11"/>
        <color theme="1"/>
        <rFont val="Calibri"/>
        <family val="2"/>
        <scheme val="minor"/>
      </rPr>
      <t>PRIMARY</t>
    </r>
    <r>
      <rPr>
        <sz val="11"/>
        <color theme="1"/>
        <rFont val="Calibri"/>
        <family val="2"/>
        <scheme val="minor"/>
      </rPr>
      <t xml:space="preserve"> sales product?  (choose from dropdown box)</t>
    </r>
  </si>
  <si>
    <r>
      <t xml:space="preserve">Farm's </t>
    </r>
    <r>
      <rPr>
        <b/>
        <u/>
        <sz val="11"/>
        <color theme="1"/>
        <rFont val="Calibri"/>
        <family val="2"/>
        <scheme val="minor"/>
      </rPr>
      <t>SECONDARY</t>
    </r>
    <r>
      <rPr>
        <sz val="11"/>
        <color theme="1"/>
        <rFont val="Calibri"/>
        <family val="2"/>
        <scheme val="minor"/>
      </rPr>
      <t xml:space="preserve"> sales product?  (choose from dropdown box)</t>
    </r>
  </si>
  <si>
    <t>Non-Operating Expenses</t>
  </si>
  <si>
    <t>Other Expense Metrics</t>
  </si>
  <si>
    <t>Basic Costs (not including: interest, depr, labor)</t>
  </si>
  <si>
    <r>
      <t>Non Basic Costs (only interest, depreciation, and labor)</t>
    </r>
    <r>
      <rPr>
        <vertAlign val="superscript"/>
        <sz val="11"/>
        <color theme="1"/>
        <rFont val="Calibri"/>
        <family val="2"/>
        <scheme val="minor"/>
      </rPr>
      <t>3</t>
    </r>
  </si>
  <si>
    <r>
      <t>Operating Expenses before depreciation &amp; interest</t>
    </r>
    <r>
      <rPr>
        <vertAlign val="superscript"/>
        <sz val="11"/>
        <color theme="1"/>
        <rFont val="Calibri"/>
        <family val="2"/>
        <scheme val="minor"/>
      </rPr>
      <t>3</t>
    </r>
  </si>
  <si>
    <r>
      <t>Operating Expenses with depr, but before interest</t>
    </r>
    <r>
      <rPr>
        <vertAlign val="superscript"/>
        <sz val="11"/>
        <color theme="1"/>
        <rFont val="Calibri"/>
        <family val="2"/>
        <scheme val="minor"/>
      </rPr>
      <t>3</t>
    </r>
  </si>
  <si>
    <r>
      <t>Operating Expenses with depreciation &amp; interest</t>
    </r>
    <r>
      <rPr>
        <vertAlign val="superscript"/>
        <sz val="11"/>
        <color theme="1"/>
        <rFont val="Calibri"/>
        <family val="2"/>
        <scheme val="minor"/>
      </rPr>
      <t>3</t>
    </r>
  </si>
  <si>
    <r>
      <t xml:space="preserve">Total Accrual Exp. </t>
    </r>
    <r>
      <rPr>
        <sz val="9"/>
        <color theme="1"/>
        <rFont val="Calibri"/>
        <family val="2"/>
        <scheme val="minor"/>
      </rPr>
      <t>(with depr, int., other farm, non-farm &amp; taxes)</t>
    </r>
    <r>
      <rPr>
        <vertAlign val="superscript"/>
        <sz val="9"/>
        <color theme="1"/>
        <rFont val="Calibri"/>
        <family val="2"/>
        <scheme val="minor"/>
      </rPr>
      <t>3</t>
    </r>
  </si>
  <si>
    <t xml:space="preserve">  3  Includes unpaid labor and management, which makes values more comparable across farms.</t>
  </si>
  <si>
    <r>
      <t>Estimated Costs of Production Based on Portion of Expenses used for production of the</t>
    </r>
    <r>
      <rPr>
        <b/>
        <u/>
        <sz val="11"/>
        <color theme="1"/>
        <rFont val="Calibri"/>
        <family val="2"/>
        <scheme val="minor"/>
      </rPr>
      <t xml:space="preserve"> Primary</t>
    </r>
    <r>
      <rPr>
        <b/>
        <sz val="11"/>
        <color theme="1"/>
        <rFont val="Calibri"/>
        <family val="2"/>
        <scheme val="minor"/>
      </rPr>
      <t xml:space="preserve"> Sales Product</t>
    </r>
  </si>
  <si>
    <t xml:space="preserve">   Cash Operating Expenses plus interest (no depreciation)</t>
  </si>
  <si>
    <t xml:space="preserve">   Cash Operating Expenses before interest including depr.</t>
  </si>
  <si>
    <r>
      <t xml:space="preserve">Estimated Costs of Production Based on Portion of Expenses used for production of the </t>
    </r>
    <r>
      <rPr>
        <b/>
        <u/>
        <sz val="11"/>
        <color theme="1"/>
        <rFont val="Calibri"/>
        <family val="2"/>
        <scheme val="minor"/>
      </rPr>
      <t>Secondary</t>
    </r>
    <r>
      <rPr>
        <b/>
        <sz val="11"/>
        <color theme="1"/>
        <rFont val="Calibri"/>
        <family val="2"/>
        <scheme val="minor"/>
      </rPr>
      <t xml:space="preserve"> Sales Product</t>
    </r>
  </si>
  <si>
    <t>Breakeven Prices Based on Changes in Production, Costs of Production, and Profit Goal</t>
  </si>
  <si>
    <t>Total Accrual Costs of Production for:</t>
  </si>
  <si>
    <t>Primary Sales Units Produced</t>
  </si>
  <si>
    <t>Note:  The percentage change in the yellow-shaded cells can be changed as can the profit goal.</t>
  </si>
  <si>
    <t>Sales of breeding livestock, raised &amp; purchased less adj. basis</t>
  </si>
  <si>
    <t>OPERATING REVENUES</t>
  </si>
  <si>
    <t>Total Operating Revenue</t>
  </si>
  <si>
    <t>OPERATING EXPENSES</t>
  </si>
  <si>
    <t xml:space="preserve"> 1-3</t>
  </si>
  <si>
    <t>10%-25%</t>
  </si>
  <si>
    <t>Acres planted for producing corn for cash sales, acres</t>
  </si>
  <si>
    <t>Average yield of cash corn acres, bushels per acre</t>
  </si>
  <si>
    <t>Average price received for cash corn sold, $ per bushel</t>
  </si>
  <si>
    <t>Calculated Value of Cash Corn, $</t>
  </si>
  <si>
    <t>Actual Sales of Cash Corn, $</t>
  </si>
  <si>
    <t>Acres planted for producing soybeans for cash sales, acres</t>
  </si>
  <si>
    <t>Average yield of cash soybean acres, bushels per acre</t>
  </si>
  <si>
    <t>Average price received for cash soybeans sold, $ per bushel</t>
  </si>
  <si>
    <t>Calculated Value of Cash Soybeans, $</t>
  </si>
  <si>
    <t>Actual Sales of Cash Soybeans, $</t>
  </si>
  <si>
    <t>Acres planted to any cash crop other than corn or soybeans, acres</t>
  </si>
  <si>
    <t>Total feed acres for on-farm use, acres</t>
  </si>
  <si>
    <t>Total acres of pasture, acres</t>
  </si>
  <si>
    <t>Total of any other acres not already accounted for, acres</t>
  </si>
  <si>
    <t>Total All Acres</t>
  </si>
  <si>
    <t>Number of Total Acres that is owned, acres</t>
  </si>
  <si>
    <t>Average number of mature cows, head</t>
  </si>
  <si>
    <t>Calculated value of milk, $</t>
  </si>
  <si>
    <t>Actual sales of milk, $</t>
  </si>
  <si>
    <t>Calculated value of beef cattle, $</t>
  </si>
  <si>
    <t>Average weight per head of beef cattle sold, pounds</t>
  </si>
  <si>
    <t>Cash Soybean Production, Price, and Sales</t>
  </si>
  <si>
    <t>Cash Corn Production, Prices, and Sales</t>
  </si>
  <si>
    <t>Other Cash Grain Production and Sales</t>
  </si>
  <si>
    <t>Milk Production, Prices, and Sales</t>
  </si>
  <si>
    <t>Beef Production, Prices, and Sales</t>
  </si>
  <si>
    <t>All Other Livestock Sales and Total Sales of Raised Products</t>
  </si>
  <si>
    <t>Feed, Other, and Total Acres</t>
  </si>
  <si>
    <t>Farm Information</t>
  </si>
  <si>
    <t>Principal Due:</t>
  </si>
  <si>
    <t>Loans Due, Principal Payments, and New Loan Proceeds</t>
  </si>
  <si>
    <t>New Loan Proceeds</t>
  </si>
  <si>
    <t>Owner Contributions and Withdrawals</t>
  </si>
  <si>
    <t>Labor Costs (Paid and Unpaid)</t>
  </si>
  <si>
    <t>Average Wage Rate, $/hour</t>
  </si>
  <si>
    <t>What portion of total paid labor is paid to owners, total $</t>
  </si>
  <si>
    <t>Actual Sales of other raised livestock &amp; poultry (not cull sales),  $</t>
  </si>
  <si>
    <t xml:space="preserve">Total Actual Cash Sales, livestock, grains and other raised products, $ </t>
  </si>
  <si>
    <t>Purchase of all other capital assets</t>
  </si>
  <si>
    <t>Sales of all other capital assets</t>
  </si>
  <si>
    <t>Estimate 3: (Estimated Replacement Cost * % financed by owners)</t>
  </si>
  <si>
    <r>
      <rPr>
        <u/>
        <sz val="11"/>
        <color theme="1"/>
        <rFont val="Calibri"/>
        <family val="2"/>
        <scheme val="minor"/>
      </rPr>
      <t xml:space="preserve">Cost Basis BS
</t>
    </r>
    <r>
      <rPr>
        <sz val="11"/>
        <color theme="1"/>
        <rFont val="Calibri"/>
        <family val="2"/>
        <scheme val="minor"/>
      </rPr>
      <t>Use Market Value</t>
    </r>
  </si>
  <si>
    <t>Current Market Value 
$ per unit</t>
  </si>
  <si>
    <t>Cost Value 
$ per unit</t>
  </si>
  <si>
    <r>
      <rPr>
        <u/>
        <sz val="11"/>
        <color theme="1"/>
        <rFont val="Calibri"/>
        <family val="2"/>
        <scheme val="minor"/>
      </rPr>
      <t>Mrkt Basis BS</t>
    </r>
    <r>
      <rPr>
        <sz val="11"/>
        <color theme="1"/>
        <rFont val="Calibri"/>
        <family val="2"/>
        <scheme val="minor"/>
      </rPr>
      <t xml:space="preserve">
Use Cost Value if Available, Else Market Value</t>
    </r>
  </si>
  <si>
    <r>
      <rPr>
        <u/>
        <sz val="11"/>
        <color theme="1"/>
        <rFont val="Calibri"/>
        <family val="2"/>
        <scheme val="minor"/>
      </rPr>
      <t>Cost Basis BS</t>
    </r>
    <r>
      <rPr>
        <sz val="11"/>
        <color theme="1"/>
        <rFont val="Calibri"/>
        <family val="2"/>
        <scheme val="minor"/>
      </rPr>
      <t xml:space="preserve">
Use Market 
Value</t>
    </r>
  </si>
  <si>
    <t>Subtotal</t>
  </si>
  <si>
    <t>Estimate of Economic Depreciation Expense based on change in Accumulated Depreciation from previous year</t>
  </si>
  <si>
    <t>Average of Beginning &amp; Ending Balance Sheets</t>
  </si>
  <si>
    <t>Average TOTAL Assets</t>
  </si>
  <si>
    <t>Cost Generating Inventory (supplies, prepaids, feed)</t>
  </si>
  <si>
    <t>Revenue generating inventory</t>
  </si>
  <si>
    <t>Other Non-Operating Farm Expense</t>
  </si>
  <si>
    <t>Other operating revenue</t>
  </si>
  <si>
    <t>Other operating expenses</t>
  </si>
  <si>
    <t>Other Non-Farm Revenue</t>
  </si>
  <si>
    <t>Other Non-Farm Expenses</t>
  </si>
  <si>
    <t>Other Non-Operating Farm Revenue</t>
  </si>
  <si>
    <t>IS Sched 4b</t>
  </si>
  <si>
    <t>Expense Adjustment for unused assets (adjustment is negative of (ending-beg)):</t>
  </si>
  <si>
    <t>Revenue Adjustment for realized income:</t>
  </si>
  <si>
    <t>Revenue Adjustment for realized income (earned, but not yet sold)</t>
  </si>
  <si>
    <t>Expense Adjustment for unused assets (purchased, but not yet used)</t>
  </si>
  <si>
    <t>Bedding, if separate from other categories</t>
  </si>
  <si>
    <t>Working Capital:Operating Expenses</t>
  </si>
  <si>
    <t>Profit Ratio (NFIFO or IFO-interest)</t>
  </si>
  <si>
    <t xml:space="preserve">   Cash Operating Expenses before interest &amp; depreciation</t>
  </si>
  <si>
    <t>Operating Principal</t>
  </si>
  <si>
    <t>Total Accrued Interest</t>
  </si>
  <si>
    <t>Accrued Operating Interest</t>
  </si>
  <si>
    <t>Total Term Principal, current &amp; non-current</t>
  </si>
  <si>
    <t>Total Current Principal Due, operating, term &amp; lease</t>
  </si>
  <si>
    <t>Total All Principal, term and operating</t>
  </si>
  <si>
    <t>Total acres planted for producing cash crops and feed, tillable acres</t>
  </si>
  <si>
    <t>Marked to Market value of open hedges</t>
  </si>
  <si>
    <t>Purchase Price</t>
  </si>
  <si>
    <t>Sell Price</t>
  </si>
  <si>
    <t>Equity in Contract</t>
  </si>
  <si>
    <t>Hedging income, complete IS Schedule 1</t>
  </si>
  <si>
    <t>Schedule 2: Estimate of Economic Depreciation</t>
  </si>
  <si>
    <t>Results from Schedules below must be manually transferred to the Income Statement</t>
  </si>
  <si>
    <t>for</t>
  </si>
  <si>
    <t>Schedule 4a:  Other Farm Operating Revenue</t>
  </si>
  <si>
    <t>Schedule 4b:  Other Farm Operating Expenses</t>
  </si>
  <si>
    <t>Schedule 5a: Other Non-Operating Farm Revenue</t>
  </si>
  <si>
    <t>Schedule 5b:  Other Non-Operating Farm Expenses</t>
  </si>
  <si>
    <t>Raised breeding livestock, change in inventory value</t>
  </si>
  <si>
    <r>
      <rPr>
        <b/>
        <i/>
        <u/>
        <sz val="14"/>
        <color theme="1"/>
        <rFont val="Calibri"/>
        <family val="2"/>
        <scheme val="minor"/>
      </rPr>
      <t>INCOME STATEMENT SCHEDULES</t>
    </r>
    <r>
      <rPr>
        <sz val="14"/>
        <color theme="1"/>
        <rFont val="Calibri"/>
        <family val="2"/>
        <scheme val="minor"/>
      </rPr>
      <t xml:space="preserve">
Results from Schedules 1, 2, and 3 are automatically transferred to the Income Statement.  
Schedules 4 and 5 must be manually transferred to the Income Statement.
-- User Entry in Yellow-Shaded Cells Only --</t>
    </r>
  </si>
  <si>
    <t>IS Sched 3</t>
  </si>
  <si>
    <t>IS Sched 5a</t>
  </si>
  <si>
    <t>IS Sched 5b</t>
  </si>
  <si>
    <t>IS Sched 4a or Sched F, ln 8</t>
  </si>
  <si>
    <r>
      <t>Schedule 3:  Accrual Adjustments</t>
    </r>
    <r>
      <rPr>
        <b/>
        <u/>
        <vertAlign val="superscript"/>
        <sz val="12"/>
        <color theme="1"/>
        <rFont val="Calibri"/>
        <family val="2"/>
        <scheme val="minor"/>
      </rPr>
      <t>1</t>
    </r>
  </si>
  <si>
    <t>TOTAL ALL DEPRECIATION</t>
  </si>
  <si>
    <t xml:space="preserve">Cost generating inventory </t>
  </si>
  <si>
    <t xml:space="preserve">Calculated Ending Cash, row 49 + row 50 </t>
  </si>
  <si>
    <t>Sources of Owner Equity Total</t>
  </si>
  <si>
    <t>Actual Owner Equity on End of Year Balance Sheet</t>
  </si>
  <si>
    <t>Schedule 1: Hedging Income</t>
  </si>
  <si>
    <t>3-Yr Avg</t>
  </si>
  <si>
    <t>3-Year Avg</t>
  </si>
  <si>
    <t>Peer Average</t>
  </si>
  <si>
    <t>Peer Top 20%</t>
  </si>
  <si>
    <t>Operating Principal due this year as shown on Beginning Balance Sheet</t>
  </si>
  <si>
    <t>Term Principal &amp; Lease Payments as shown on Beginning Balance Sheet</t>
  </si>
  <si>
    <r>
      <rPr>
        <b/>
        <u/>
        <sz val="14"/>
        <color theme="1"/>
        <rFont val="Calibri"/>
        <family val="2"/>
        <scheme val="minor"/>
      </rPr>
      <t>Category D1</t>
    </r>
    <r>
      <rPr>
        <b/>
        <sz val="14"/>
        <color theme="1"/>
        <rFont val="Calibri"/>
        <family val="2"/>
        <scheme val="minor"/>
      </rPr>
      <t>: 
Raised/Grown With Intent to Sell</t>
    </r>
    <r>
      <rPr>
        <b/>
        <vertAlign val="superscript"/>
        <sz val="14"/>
        <color theme="1"/>
        <rFont val="Calibri"/>
        <family val="2"/>
        <scheme val="minor"/>
      </rPr>
      <t>3</t>
    </r>
    <r>
      <rPr>
        <b/>
        <sz val="14"/>
        <color theme="1"/>
        <rFont val="Calibri"/>
        <family val="2"/>
        <scheme val="minor"/>
      </rPr>
      <t xml:space="preserve"> </t>
    </r>
  </si>
  <si>
    <r>
      <rPr>
        <b/>
        <u/>
        <sz val="14"/>
        <color theme="1"/>
        <rFont val="Calibri"/>
        <family val="2"/>
        <scheme val="minor"/>
      </rPr>
      <t>Category D3</t>
    </r>
    <r>
      <rPr>
        <b/>
        <sz val="14"/>
        <color theme="1"/>
        <rFont val="Calibri"/>
        <family val="2"/>
        <scheme val="minor"/>
      </rPr>
      <t>:
Items purchased with intent to add value and resell (e.g., purchased feeder cattle fattened for resale)</t>
    </r>
    <r>
      <rPr>
        <b/>
        <vertAlign val="superscript"/>
        <sz val="14"/>
        <color theme="1"/>
        <rFont val="Calibri"/>
        <family val="2"/>
        <scheme val="minor"/>
      </rPr>
      <t>5</t>
    </r>
  </si>
  <si>
    <r>
      <rPr>
        <b/>
        <u/>
        <sz val="14"/>
        <color theme="1"/>
        <rFont val="Calibri"/>
        <family val="2"/>
        <scheme val="minor"/>
      </rPr>
      <t>Category E1</t>
    </r>
    <r>
      <rPr>
        <b/>
        <sz val="14"/>
        <color theme="1"/>
        <rFont val="Calibri"/>
        <family val="2"/>
        <scheme val="minor"/>
      </rPr>
      <t>: 
Items purchased as a feed input</t>
    </r>
    <r>
      <rPr>
        <b/>
        <vertAlign val="superscript"/>
        <sz val="14"/>
        <color theme="1"/>
        <rFont val="Calibri"/>
        <family val="2"/>
        <scheme val="minor"/>
      </rPr>
      <t>3</t>
    </r>
  </si>
  <si>
    <r>
      <rPr>
        <b/>
        <u/>
        <sz val="14"/>
        <color theme="1"/>
        <rFont val="Calibri"/>
        <family val="2"/>
        <scheme val="minor"/>
      </rPr>
      <t>Category E3</t>
    </r>
    <r>
      <rPr>
        <b/>
        <sz val="14"/>
        <color theme="1"/>
        <rFont val="Calibri"/>
        <family val="2"/>
        <scheme val="minor"/>
      </rPr>
      <t>: 
Direct cost of purchased inputs in a Growing Crop (e.g. seed and fertilizer)</t>
    </r>
    <r>
      <rPr>
        <b/>
        <vertAlign val="superscript"/>
        <sz val="14"/>
        <color theme="1"/>
        <rFont val="Calibri"/>
        <family val="2"/>
        <scheme val="minor"/>
      </rPr>
      <t>5</t>
    </r>
  </si>
  <si>
    <r>
      <t>Market Value</t>
    </r>
    <r>
      <rPr>
        <vertAlign val="superscript"/>
        <sz val="11"/>
        <color theme="1"/>
        <rFont val="Calibri"/>
        <family val="2"/>
        <scheme val="minor"/>
      </rPr>
      <t>2</t>
    </r>
    <r>
      <rPr>
        <sz val="11"/>
        <color theme="1"/>
        <rFont val="Calibri"/>
        <family val="2"/>
        <scheme val="minor"/>
      </rPr>
      <t xml:space="preserve"> per unit</t>
    </r>
  </si>
  <si>
    <t>Costs of Production per unit if available, else use Market Value per unit</t>
  </si>
  <si>
    <r>
      <rPr>
        <u/>
        <sz val="11"/>
        <color theme="1"/>
        <rFont val="Calibri"/>
        <family val="2"/>
        <scheme val="minor"/>
      </rPr>
      <t>Cost Basis BS</t>
    </r>
    <r>
      <rPr>
        <sz val="11"/>
        <color theme="1"/>
        <rFont val="Calibri"/>
        <family val="2"/>
        <scheme val="minor"/>
      </rPr>
      <t xml:space="preserve">
Use Cost Value if Available, Else  Market Value</t>
    </r>
  </si>
  <si>
    <r>
      <t>$ per Acre of Direct Expenses</t>
    </r>
    <r>
      <rPr>
        <vertAlign val="superscript"/>
        <sz val="11"/>
        <color theme="1"/>
        <rFont val="Calibri"/>
        <family val="2"/>
        <scheme val="minor"/>
      </rPr>
      <t>5</t>
    </r>
  </si>
  <si>
    <t>Beginning of Year 
Base Value 
per head</t>
  </si>
  <si>
    <t>End of the Year Base Value 
per head</t>
  </si>
  <si>
    <t>Current Portion Due
(Current Liab.)</t>
  </si>
  <si>
    <t>Balance Due
(Current Liab.)</t>
  </si>
  <si>
    <t>Total Principal Balances (accts payable, credit card, non-term/operating, and term loan):</t>
  </si>
  <si>
    <t>Breeding fees, if separate from vet, breeding, &amp; medicine</t>
  </si>
  <si>
    <t xml:space="preserve">Estimated Expense </t>
  </si>
  <si>
    <t>Percent of Expense Item</t>
  </si>
  <si>
    <t>Estimated Expense</t>
  </si>
  <si>
    <t>Estimated Expense per Unit</t>
  </si>
  <si>
    <r>
      <rPr>
        <b/>
        <sz val="20"/>
        <color theme="1"/>
        <rFont val="Calibri"/>
        <family val="2"/>
        <scheme val="minor"/>
      </rPr>
      <t>Activity (Cost Center) Analysis</t>
    </r>
    <r>
      <rPr>
        <sz val="11"/>
        <color theme="1"/>
        <rFont val="Calibri"/>
        <family val="2"/>
        <scheme val="minor"/>
      </rPr>
      <t xml:space="preserve">
These columns allow users to estimate costs of a specific activity or cost center.  Herd replacements would be an example.  The user enters the percent of each expense item (column D) associated with the cost center activity.  Users also enter a denominator value that is divided into the cost estimate to arrive at cost of production per unit.</t>
    </r>
  </si>
  <si>
    <t>Percent of Expenses in Col. D</t>
  </si>
  <si>
    <t>Alternative Expense Breakdown</t>
  </si>
  <si>
    <t>Enter Values</t>
  </si>
  <si>
    <r>
      <t>Basic Operating Expense Ratio</t>
    </r>
    <r>
      <rPr>
        <vertAlign val="superscript"/>
        <sz val="12"/>
        <color theme="1"/>
        <rFont val="Calibri"/>
        <family val="2"/>
        <scheme val="minor"/>
      </rPr>
      <t>4</t>
    </r>
  </si>
  <si>
    <t>&gt;80%
&gt;90%</t>
  </si>
  <si>
    <t>60%-80%
70%-90%</t>
  </si>
  <si>
    <t>&lt;60%
&lt;70%</t>
  </si>
  <si>
    <t xml:space="preserve">Wages paid ratio considers hired labor (and corresponding cash benefits).  It does not include value of unpaid labor &amp; management.  The "Total Labor" ratio includes value of unpaid labor and management.  The "Total Labor" ratio should allow for better comparison across different farms.  </t>
  </si>
  <si>
    <t>Depreciation</t>
  </si>
  <si>
    <t>Income From Operations (EBIT)</t>
  </si>
  <si>
    <t>Net Farm Income From Operations (EBT)</t>
  </si>
  <si>
    <t>EBT (earnings before taxes), same as NFIFO</t>
  </si>
  <si>
    <t>&gt; 25%</t>
  </si>
  <si>
    <t>&lt; 10%</t>
  </si>
  <si>
    <t>&lt; 5%</t>
  </si>
  <si>
    <t>&lt; 1 yrs</t>
  </si>
  <si>
    <t>&lt; 1 year</t>
  </si>
  <si>
    <t>&lt; 1</t>
  </si>
  <si>
    <t xml:space="preserve"> 2-6</t>
  </si>
  <si>
    <t>&lt; 2</t>
  </si>
  <si>
    <t>&gt; 6</t>
  </si>
  <si>
    <r>
      <t>Operating Expense Ratio</t>
    </r>
    <r>
      <rPr>
        <vertAlign val="superscript"/>
        <sz val="12"/>
        <color theme="1"/>
        <rFont val="Calibri"/>
        <family val="2"/>
        <scheme val="minor"/>
      </rPr>
      <t>3</t>
    </r>
    <r>
      <rPr>
        <sz val="12"/>
        <color theme="1"/>
        <rFont val="Calibri"/>
        <family val="2"/>
        <scheme val="minor"/>
      </rPr>
      <t xml:space="preserve">
</t>
    </r>
    <r>
      <rPr>
        <sz val="10"/>
        <color theme="1"/>
        <rFont val="Calibri"/>
        <family val="2"/>
        <scheme val="minor"/>
      </rPr>
      <t xml:space="preserve">              </t>
    </r>
    <r>
      <rPr>
        <sz val="11"/>
        <color theme="1"/>
        <rFont val="Calibri"/>
        <family val="2"/>
        <scheme val="minor"/>
      </rPr>
      <t xml:space="preserve"> If management salaries included:</t>
    </r>
  </si>
  <si>
    <t>Average mailbox price received for milk, including basis, ($/cwt)</t>
  </si>
  <si>
    <t>Acres, Production, Prices, &amp; Sales of Raised Products (rented &amp; owned)</t>
  </si>
  <si>
    <t xml:space="preserve">Principal actually paid this year on Operating Loans, $ </t>
  </si>
  <si>
    <t>Principal actually paid this year on Term Debt &amp; Loss Carryover, $</t>
  </si>
  <si>
    <t>Capital Lease payments made this year, $</t>
  </si>
  <si>
    <t>New operating loans received this year, $</t>
  </si>
  <si>
    <t>New term loans received this year, $</t>
  </si>
  <si>
    <t>Management Fee, percent of Total Revenue (typically 4%-5%)</t>
  </si>
  <si>
    <r>
      <t>Accrued interest,</t>
    </r>
    <r>
      <rPr>
        <sz val="10"/>
        <color theme="1"/>
        <rFont val="Calibri"/>
        <family val="2"/>
        <scheme val="minor"/>
      </rPr>
      <t xml:space="preserve"> non-term operating loans</t>
    </r>
  </si>
  <si>
    <t>EBIT (earnings before interest and taxes), same as IFO</t>
  </si>
  <si>
    <t>Accrued interest on non-term operating debt</t>
  </si>
  <si>
    <t>Plus:  Other farm and non-farm  income</t>
  </si>
  <si>
    <t>Uses of Repayment &amp; Replacement Capacity</t>
  </si>
  <si>
    <t>Sources of Repayment &amp; Replacement Capacity</t>
  </si>
  <si>
    <t>Replacement Coverage Ratio a÷(d+f)</t>
  </si>
  <si>
    <r>
      <t>Total Debt Coverage Ratio, a</t>
    </r>
    <r>
      <rPr>
        <sz val="11"/>
        <color theme="1"/>
        <rFont val="Calibri"/>
        <family val="2"/>
      </rPr>
      <t>÷</t>
    </r>
    <r>
      <rPr>
        <sz val="9.9"/>
        <color theme="1"/>
        <rFont val="Calibri"/>
        <family val="2"/>
      </rPr>
      <t>d</t>
    </r>
  </si>
  <si>
    <r>
      <t xml:space="preserve"> (f) Unfunded Capital Expenditure</t>
    </r>
    <r>
      <rPr>
        <sz val="9"/>
        <color theme="1"/>
        <rFont val="Calibri"/>
        <family val="2"/>
        <scheme val="minor"/>
      </rPr>
      <t xml:space="preserve"> (cash paid by owner, equity financing)</t>
    </r>
  </si>
  <si>
    <t>Total Debt Coverage Ratio</t>
  </si>
  <si>
    <t>Replacement Coverage Ratio</t>
  </si>
  <si>
    <t>Additional Measures and Ratios</t>
  </si>
  <si>
    <t>Current Year and 3-Year Trend</t>
  </si>
  <si>
    <t>Comparison to Peers</t>
  </si>
  <si>
    <t xml:space="preserve">  = Depreciable amount</t>
  </si>
  <si>
    <t>Positive difference means cash accounted for is greater than cash shown on BS, thus missing cash outflow or too much cash inflow.
Negative difference means cash accounted for is less than cash shown on BS, thus missing cash inflow or too much cash outflow.</t>
  </si>
  <si>
    <r>
      <t xml:space="preserve">Cash and Accrual Income Statement
</t>
    </r>
    <r>
      <rPr>
        <sz val="12"/>
        <color theme="1"/>
        <rFont val="Calibri"/>
        <family val="2"/>
        <scheme val="minor"/>
      </rPr>
      <t xml:space="preserve">  Note, Accrual Adjustments are added/subtracted at the bottom of the revenue and expense sections and not reflected as part of the individual line items to which they pertain.  </t>
    </r>
  </si>
  <si>
    <r>
      <t xml:space="preserve">Beginning and Ending Balance Sheet
</t>
    </r>
    <r>
      <rPr>
        <sz val="12"/>
        <color theme="1"/>
        <rFont val="Calibri"/>
        <family val="2"/>
        <scheme val="minor"/>
      </rPr>
      <t>The Balance Sheets pulls information from the 'BS Schedules' tab.  Other than the Beginning Balance Sheet date and whether or not to include deferred taxes (yellow-shaded cells), there is no entries required on this tab.  Column E shows which BS Schedule to use for that line item.</t>
    </r>
  </si>
  <si>
    <t>Total Liabilities</t>
  </si>
  <si>
    <t>Cost Value</t>
  </si>
  <si>
    <t>TOTALS for Balance Sheet and Income Statement</t>
  </si>
  <si>
    <t>Total Liability</t>
  </si>
  <si>
    <t>Analysis of All Leased Items for a Single Year, "Year Being Analyzed" (cell D2)</t>
  </si>
  <si>
    <t xml:space="preserve"> 1  First day of month is assumed.  If it is much closer to the last day of the month then enter the next month.</t>
  </si>
  <si>
    <t xml:space="preserve"> 2  Initial or Advance payment refers to any amounts that are due on the first day of the lease.  If lease payments are not due until the end of the year then the Initial/Advanced value is zero.</t>
  </si>
  <si>
    <t>Year Index</t>
  </si>
  <si>
    <t>First Year of Lease, 20xx</t>
  </si>
  <si>
    <t>Notes</t>
  </si>
  <si>
    <t xml:space="preserve">Only yellow-shaded tabs are ones that need any user entry, all others are automatically completed when the yellow-shaded tabs are completed. </t>
  </si>
  <si>
    <t>User information can be entered in yellow-shaded cells only.</t>
  </si>
  <si>
    <t>Total</t>
  </si>
  <si>
    <t>Misc</t>
  </si>
  <si>
    <t>Date of Balance Sheet for Calculating Accrued Interest mm/dd/yy ---&gt;</t>
  </si>
  <si>
    <t>Date of Last Payment
mm/dd/yy</t>
  </si>
  <si>
    <t>Next Payment Date
mm/dd/yy</t>
  </si>
  <si>
    <t>Estimated Accrued Interest</t>
  </si>
  <si>
    <t>Year End:</t>
  </si>
  <si>
    <t>&gt; 75%</t>
  </si>
  <si>
    <t>55%-75%</t>
  </si>
  <si>
    <t>&lt; 55%</t>
  </si>
  <si>
    <t>&gt; 10%</t>
  </si>
  <si>
    <t>&gt; 12%</t>
  </si>
  <si>
    <t>7%-12%</t>
  </si>
  <si>
    <t>&lt; 7%</t>
  </si>
  <si>
    <t>&gt; 20%</t>
  </si>
  <si>
    <t>Income Measures</t>
  </si>
  <si>
    <t xml:space="preserve">Estimated Total Market Value based on 10% reduction in value from previous year and including new purchases and sales: </t>
  </si>
  <si>
    <t>Description
(The 'Depreciation Schedule' tab provides a table for individual item calculation of depreciation and book value)</t>
  </si>
  <si>
    <t>Estimate of Market Value Based on Reduction in Value of Depreciable Portion: 
10% Machinery per year
20% purch brd lvsk per year
4% buildings per year</t>
  </si>
  <si>
    <t>Estimate of Economic Depreciation</t>
  </si>
  <si>
    <t xml:space="preserve">Month Purchased  
Jan=1, Feb=2, </t>
  </si>
  <si>
    <t>Machinery &amp; Equipment Total</t>
  </si>
  <si>
    <t>Buildings Total</t>
  </si>
  <si>
    <t>Purchased Breeding Livestock Total</t>
  </si>
  <si>
    <t>Financing of capital asset purchases provided by owners?  Enter actual value if known or based on estimates given below if not known.</t>
  </si>
  <si>
    <t>Contract Quantity</t>
  </si>
  <si>
    <t>Balance
For both Cost &amp; Market Basis BS</t>
  </si>
  <si>
    <t>Account Balance</t>
  </si>
  <si>
    <t>Schedule A: Cash and Hedging Accounts</t>
  </si>
  <si>
    <r>
      <rPr>
        <b/>
        <sz val="14"/>
        <color theme="1"/>
        <rFont val="Calibri"/>
        <family val="2"/>
        <scheme val="minor"/>
      </rPr>
      <t xml:space="preserve">Checking, Savings, Money Market, &amp; Other Cash Accounts      
</t>
    </r>
    <r>
      <rPr>
        <sz val="11"/>
        <color theme="1"/>
        <rFont val="Calibri"/>
        <family val="2"/>
        <scheme val="minor"/>
      </rPr>
      <t xml:space="preserve"> Description, Name, or Location of Account</t>
    </r>
  </si>
  <si>
    <r>
      <rPr>
        <b/>
        <u/>
        <sz val="14"/>
        <color theme="1"/>
        <rFont val="Calibri"/>
        <family val="2"/>
        <scheme val="minor"/>
      </rPr>
      <t>Category E2</t>
    </r>
    <r>
      <rPr>
        <b/>
        <sz val="14"/>
        <color theme="1"/>
        <rFont val="Calibri"/>
        <family val="2"/>
        <scheme val="minor"/>
      </rPr>
      <t>: 
Prepaid &amp; Supplies purchased for use as an input (seed, fuel, etc.)</t>
    </r>
    <r>
      <rPr>
        <b/>
        <vertAlign val="superscript"/>
        <sz val="14"/>
        <color theme="1"/>
        <rFont val="Calibri"/>
        <family val="2"/>
        <scheme val="minor"/>
      </rPr>
      <t>4</t>
    </r>
  </si>
  <si>
    <r>
      <rPr>
        <vertAlign val="superscript"/>
        <sz val="10"/>
        <color theme="1"/>
        <rFont val="Calibri"/>
        <family val="2"/>
        <scheme val="minor"/>
      </rPr>
      <t>1</t>
    </r>
    <r>
      <rPr>
        <sz val="10"/>
        <color theme="1"/>
        <rFont val="Calibri"/>
        <family val="2"/>
        <scheme val="minor"/>
      </rPr>
      <t xml:space="preserve">   Cost-Generating inventory are those kinds, or categories, of inventory that is intended to be used as an input and will ultimately end up as a cost to the business.       
</t>
    </r>
    <r>
      <rPr>
        <vertAlign val="superscript"/>
        <sz val="10"/>
        <color theme="1"/>
        <rFont val="Calibri"/>
        <family val="2"/>
        <scheme val="minor"/>
      </rPr>
      <t>2</t>
    </r>
    <r>
      <rPr>
        <sz val="10"/>
        <color theme="1"/>
        <rFont val="Calibri"/>
        <family val="2"/>
        <scheme val="minor"/>
      </rPr>
      <t xml:space="preserve">  The FFSC refers to "net realizable value", which is market value less costs of disposal.  The term "market value" will be used here and includes costs of disposal, thus equal to net realizable value. 
</t>
    </r>
    <r>
      <rPr>
        <vertAlign val="superscript"/>
        <sz val="10"/>
        <color theme="1"/>
        <rFont val="Calibri"/>
        <family val="2"/>
        <scheme val="minor"/>
      </rPr>
      <t>3</t>
    </r>
    <r>
      <rPr>
        <sz val="10"/>
        <color theme="1"/>
        <rFont val="Calibri"/>
        <family val="2"/>
        <scheme val="minor"/>
      </rPr>
      <t xml:space="preserve">  Category E1 is purchased feed inventory that has the intent to be used as an input.  In the case of co-mingling of purchased and raised inventory, the FFSC recommends the assumption that raised feeds are fed first.  Thus, what is left in inventory at the end of the year is purchased feed and valued accordingly.  If there is more inventory than what was purchased then the value would be a weighted average of the known purchase price(s) of purchased feeds and costs of production (COP) of raised feeds, or market value if COP is not known.  Another option is to use a weighted value to start with and assume use is equivalent portions of raised and purchased.  
</t>
    </r>
    <r>
      <rPr>
        <vertAlign val="superscript"/>
        <sz val="10"/>
        <color theme="1"/>
        <rFont val="Calibri"/>
        <family val="2"/>
        <scheme val="minor"/>
      </rPr>
      <t>4</t>
    </r>
    <r>
      <rPr>
        <sz val="10"/>
        <color theme="1"/>
        <rFont val="Calibri"/>
        <family val="2"/>
        <scheme val="minor"/>
      </rPr>
      <t xml:space="preserve">  Category E2 is purchased (non feed) raw materials for use as an input in a production process, often referred to as prepaid expenses and supplies.  Valuation is at cost value.
</t>
    </r>
    <r>
      <rPr>
        <vertAlign val="superscript"/>
        <sz val="10"/>
        <color theme="1"/>
        <rFont val="Calibri"/>
        <family val="2"/>
        <scheme val="minor"/>
      </rPr>
      <t>5</t>
    </r>
    <r>
      <rPr>
        <sz val="10"/>
        <color theme="1"/>
        <rFont val="Calibri"/>
        <family val="2"/>
        <scheme val="minor"/>
      </rPr>
      <t xml:space="preserve">  Category E3 is virtually the same as E2 except the purchased inventory has been applied to a currently growing crop.  Only direct expenses in the crop are considered, that is, the value of those inputs actually on the land (seed, fertilizer, chemical are common ones).  Indirect expenses such as depreciation, labor, fuel are not included.</t>
    </r>
  </si>
  <si>
    <r>
      <rPr>
        <vertAlign val="superscript"/>
        <sz val="10"/>
        <color theme="1"/>
        <rFont val="Calibri"/>
        <family val="2"/>
        <scheme val="minor"/>
      </rPr>
      <t>1</t>
    </r>
    <r>
      <rPr>
        <sz val="10"/>
        <color theme="1"/>
        <rFont val="Calibri"/>
        <family val="2"/>
        <scheme val="minor"/>
      </rPr>
      <t xml:space="preserve">   There are multiple kinds, or categories, of inventory.  Some is raised and some is purchased.  Some is for the intent to sell and some is for the intent to use as an input.  Some will ultimately result in a revenue (BS Schedule D) while some will ultimately result in a cost (BS Schedule E).  BS Schedule D is for inventory that will ultimately end up as a revenue.
</t>
    </r>
    <r>
      <rPr>
        <vertAlign val="superscript"/>
        <sz val="10"/>
        <color theme="1"/>
        <rFont val="Calibri"/>
        <family val="2"/>
        <scheme val="minor"/>
      </rPr>
      <t>2</t>
    </r>
    <r>
      <rPr>
        <sz val="10"/>
        <color theme="1"/>
        <rFont val="Calibri"/>
        <family val="2"/>
        <scheme val="minor"/>
      </rPr>
      <t xml:space="preserve">  The FFSC refers to "net realizable value", which is market value less costs of disposal.  The term "market value" will be used here and includes costs of disposal, thus equal to net realizable value. 
</t>
    </r>
    <r>
      <rPr>
        <vertAlign val="superscript"/>
        <sz val="10"/>
        <color theme="1"/>
        <rFont val="Calibri"/>
        <family val="2"/>
        <scheme val="minor"/>
      </rPr>
      <t>3</t>
    </r>
    <r>
      <rPr>
        <sz val="10"/>
        <color theme="1"/>
        <rFont val="Calibri"/>
        <family val="2"/>
        <scheme val="minor"/>
      </rPr>
      <t xml:space="preserve">  Category D1 inventory is Raised/Grown products with the intent and purpose of selling as a source of farm revenues and are valued at market value for both cost and market basis balance sheets.  
</t>
    </r>
    <r>
      <rPr>
        <vertAlign val="superscript"/>
        <sz val="10"/>
        <color theme="1"/>
        <rFont val="Calibri"/>
        <family val="2"/>
        <scheme val="minor"/>
      </rPr>
      <t>4</t>
    </r>
    <r>
      <rPr>
        <sz val="10"/>
        <color theme="1"/>
        <rFont val="Calibri"/>
        <family val="2"/>
        <scheme val="minor"/>
      </rPr>
      <t xml:space="preserve">  Category D2 inventory is Raised/Grown products (primarily grown feedstuffs) that have the intent of being used as an input in another production process.  FFSC recommends lower of cost or net realizable value (market value less selling costs).  A slight departure from that recommendation is to value at cost of production if known since the intent is to be an input.  If costs of production are not known then net market value.  Even though its use is as an input in another production process, it was originally a revenue generated on the farm thus a revenue-generating activity.
</t>
    </r>
    <r>
      <rPr>
        <vertAlign val="superscript"/>
        <sz val="10"/>
        <color theme="1"/>
        <rFont val="Calibri"/>
        <family val="2"/>
        <scheme val="minor"/>
      </rPr>
      <t>5</t>
    </r>
    <r>
      <rPr>
        <sz val="10"/>
        <color theme="1"/>
        <rFont val="Calibri"/>
        <family val="2"/>
        <scheme val="minor"/>
      </rPr>
      <t xml:space="preserve">  Category D3 inventory is Purchased inventory with the intent to add value and resell.  Purchasing feeder cattle to fatten and resell is an example where the original cost may not be reflective of the product that is now potentially significantly changed.  Thus, market value is recommended and the additional value is a revenue-generating activity.</t>
    </r>
  </si>
  <si>
    <t xml:space="preserve">Estimated Total Market Value based on 20% reduction in value from previous year and including new purchases and sales: </t>
  </si>
  <si>
    <t xml:space="preserve">Estimated Total Market Value based on 5% reduction in value from previous year and including new purchases and sales: </t>
  </si>
  <si>
    <t>Accumulated Principal Paid</t>
  </si>
  <si>
    <t>Depreciation on Capital Leases</t>
  </si>
  <si>
    <t>Total Including Capital Leases</t>
  </si>
  <si>
    <r>
      <t xml:space="preserve"> </t>
    </r>
    <r>
      <rPr>
        <vertAlign val="superscript"/>
        <sz val="11"/>
        <color theme="1"/>
        <rFont val="Calibri"/>
        <family val="2"/>
        <scheme val="minor"/>
      </rPr>
      <t>1</t>
    </r>
    <r>
      <rPr>
        <sz val="11"/>
        <color theme="1"/>
        <rFont val="Calibri"/>
        <family val="2"/>
        <scheme val="minor"/>
      </rPr>
      <t xml:space="preserve">   The "Capital Lease Schedule" tab provides a table calculating capital lease BS and IS values</t>
    </r>
  </si>
  <si>
    <t>Farmer withdrawals from brokerage account</t>
  </si>
  <si>
    <t>Farmer deposits in brokerage account</t>
  </si>
  <si>
    <t>Blue-Shaded cells are a summary result of totals for different kinds of depreciable assets.</t>
  </si>
  <si>
    <t>Cost/Book Value</t>
  </si>
  <si>
    <t>Estimate of Market Value</t>
  </si>
  <si>
    <t>Summary of Results</t>
  </si>
  <si>
    <t>6</t>
  </si>
  <si>
    <t>Term Debt:EBITDA is more comparable across operations as it takes out the potentially distorting values of interest, taxes and depreciation.</t>
  </si>
  <si>
    <t>Primary:</t>
  </si>
  <si>
    <t>Secondary:</t>
  </si>
  <si>
    <t>% of Total Revenue:</t>
  </si>
  <si>
    <t>Numerical Value of Denominator for Use in Calculating 'Estimated Expense per Unit' (number of head, bushels, etc.):</t>
  </si>
  <si>
    <t>Name of Cost Center:</t>
  </si>
  <si>
    <t>Accrual Operating Expenses</t>
  </si>
  <si>
    <t xml:space="preserve"> 3-6</t>
  </si>
  <si>
    <t>&lt; 3</t>
  </si>
  <si>
    <t xml:space="preserve">"Basic Costs" is terminology used by the University of Wisconsin's Center for Dairy Profitability.  It is all operating costs except depreciation, interest, and labor.  </t>
  </si>
  <si>
    <t>Estimate of Unpaid Labor and Management, $</t>
  </si>
  <si>
    <r>
      <t xml:space="preserve">  </t>
    </r>
    <r>
      <rPr>
        <vertAlign val="superscript"/>
        <sz val="11"/>
        <color theme="1"/>
        <rFont val="Calibri"/>
        <family val="2"/>
        <scheme val="minor"/>
      </rPr>
      <t>4</t>
    </r>
    <r>
      <rPr>
        <sz val="11"/>
        <color theme="1"/>
        <rFont val="Calibri"/>
        <family val="2"/>
        <scheme val="minor"/>
      </rPr>
      <t xml:space="preserve">  Includes unpaid labor and management, which makes values more comparable across farms.</t>
    </r>
  </si>
  <si>
    <r>
      <t xml:space="preserve">  </t>
    </r>
    <r>
      <rPr>
        <vertAlign val="superscript"/>
        <sz val="11"/>
        <color theme="1"/>
        <rFont val="Calibri"/>
        <family val="2"/>
        <scheme val="minor"/>
      </rPr>
      <t>1</t>
    </r>
    <r>
      <rPr>
        <sz val="11"/>
        <color theme="1"/>
        <rFont val="Calibri"/>
        <family val="2"/>
        <scheme val="minor"/>
      </rPr>
      <t xml:space="preserve">  unitEQ =  Unit Equivalent.  This is a method of adjusting for expenses used for other than the primary product.  The method creates a unit equivalent value by dividing total farm income, less government payments, by the price of the primary product.  In so doing the unitEQ is greater than the actual sales units produced.  It is an estimate of how many sales units it would take to produce the same level of total income.  Thus, dividing costs by the unitEQ adjusts to a closer value of the actual costs of production for the primary product only.  The best method is to enterprise costs for producing the primary product from all other costs and then divide by actual units of the primary product produced.  unitEQ is only an estimate.
      Using milk as an example, milk sales are in hundredweights (cwt).  Thus, the Hundredweight Equivalent (cwtEQ) adjusts cost of production to estimate milk costs of production only.  The cwtEQ is calculated my dividing total farm income less government payments by a milk price (e.g., mailbox or all milk price).  In so doing the cwtEQ is greater than the actual hundredweight produced.  It is an estimate of how many hundredweights of milk it would take to produce the same level of total income without the non-milk income included.  Thus, dividing costs by the cwtEQ adjusts to a closer value of the actual costs of production from milk only.  </t>
    </r>
  </si>
  <si>
    <r>
      <t xml:space="preserve">   Non Basic Costs (only interest, depreciation, and labor)</t>
    </r>
    <r>
      <rPr>
        <vertAlign val="superscript"/>
        <sz val="11"/>
        <color theme="1"/>
        <rFont val="Calibri"/>
        <family val="2"/>
        <scheme val="minor"/>
      </rPr>
      <t>4</t>
    </r>
  </si>
  <si>
    <r>
      <t xml:space="preserve">   Operating Expenses before depreciation &amp; interest</t>
    </r>
    <r>
      <rPr>
        <vertAlign val="superscript"/>
        <sz val="11"/>
        <color theme="1"/>
        <rFont val="Calibri"/>
        <family val="2"/>
        <scheme val="minor"/>
      </rPr>
      <t>4</t>
    </r>
  </si>
  <si>
    <r>
      <t xml:space="preserve">   Operating Expenses with depr, but before interest</t>
    </r>
    <r>
      <rPr>
        <vertAlign val="superscript"/>
        <sz val="11"/>
        <color theme="1"/>
        <rFont val="Calibri"/>
        <family val="2"/>
        <scheme val="minor"/>
      </rPr>
      <t>4</t>
    </r>
  </si>
  <si>
    <r>
      <t xml:space="preserve">   Operating Expenses with depreciation &amp; interest</t>
    </r>
    <r>
      <rPr>
        <vertAlign val="superscript"/>
        <sz val="11"/>
        <color theme="1"/>
        <rFont val="Calibri"/>
        <family val="2"/>
        <scheme val="minor"/>
      </rPr>
      <t>4</t>
    </r>
  </si>
  <si>
    <r>
      <t xml:space="preserve">   Total Accrual Exp. </t>
    </r>
    <r>
      <rPr>
        <sz val="9"/>
        <color theme="1"/>
        <rFont val="Calibri"/>
        <family val="2"/>
        <scheme val="minor"/>
      </rPr>
      <t>(with depr, int., other farm, non-farm &amp; taxes)</t>
    </r>
    <r>
      <rPr>
        <vertAlign val="superscript"/>
        <sz val="9"/>
        <color theme="1"/>
        <rFont val="Calibri"/>
        <family val="2"/>
        <scheme val="minor"/>
      </rPr>
      <t>4</t>
    </r>
  </si>
  <si>
    <r>
      <t>% of Total Revenue</t>
    </r>
    <r>
      <rPr>
        <b/>
        <vertAlign val="superscript"/>
        <sz val="11"/>
        <color theme="1"/>
        <rFont val="Calibri"/>
        <family val="2"/>
        <scheme val="minor"/>
      </rPr>
      <t>3</t>
    </r>
  </si>
  <si>
    <r>
      <t xml:space="preserve">  </t>
    </r>
    <r>
      <rPr>
        <vertAlign val="superscript"/>
        <sz val="11"/>
        <color theme="1"/>
        <rFont val="Calibri"/>
        <family val="2"/>
        <scheme val="minor"/>
      </rPr>
      <t>3</t>
    </r>
    <r>
      <rPr>
        <sz val="11"/>
        <color theme="1"/>
        <rFont val="Calibri"/>
        <family val="2"/>
        <scheme val="minor"/>
      </rPr>
      <t xml:space="preserve">  Percent of Total Revenue provides a standardized measure for comparison across farm sizes.</t>
    </r>
  </si>
  <si>
    <t>Value:</t>
  </si>
  <si>
    <t>Total Costs</t>
  </si>
  <si>
    <t xml:space="preserve">Value: </t>
  </si>
  <si>
    <t>Agronomic, (chemicals, fertilizer, seed, cost inventory accruals)</t>
  </si>
  <si>
    <t>Total Costs Primary Product</t>
  </si>
  <si>
    <t>Total Costs Secondary Product</t>
  </si>
  <si>
    <t xml:space="preserve">    Total Operating Expenses before interest</t>
  </si>
  <si>
    <t>N/A</t>
  </si>
  <si>
    <t>7</t>
  </si>
  <si>
    <t>AA</t>
  </si>
  <si>
    <t xml:space="preserve"> 2) Description of Open Positions </t>
  </si>
  <si>
    <r>
      <t xml:space="preserve">Hedging Accounts (2 parts)
</t>
    </r>
    <r>
      <rPr>
        <sz val="11"/>
        <color theme="1"/>
        <rFont val="Calibri"/>
        <family val="2"/>
        <scheme val="minor"/>
      </rPr>
      <t xml:space="preserve"> 1)  Brokerage (Margin) Accounts - description of account, brokerage company name, etc.</t>
    </r>
  </si>
  <si>
    <t>Total owner withdrawal from the business this year, $</t>
  </si>
  <si>
    <r>
      <t xml:space="preserve">Sales  </t>
    </r>
    <r>
      <rPr>
        <i/>
        <u/>
        <sz val="10"/>
        <color theme="1"/>
        <rFont val="Calibri"/>
        <family val="2"/>
        <scheme val="minor"/>
      </rPr>
      <t>(potential source of information is tax document form 4797)</t>
    </r>
  </si>
  <si>
    <t>Raised breeding livestock sales</t>
  </si>
  <si>
    <t>Purchased breeding livestock sales</t>
  </si>
  <si>
    <t>Actual Principal and Capital Lease Payments</t>
  </si>
  <si>
    <t>Owner's Portion of Capital Asset Replacement (unfinanced portion)</t>
  </si>
  <si>
    <t>Intermediate Assets (2-10 Years)</t>
  </si>
  <si>
    <t>Current Portion, Term &amp; Lease Payments, Principal</t>
  </si>
  <si>
    <t>Accrued Term and Lease Payment Interest</t>
  </si>
  <si>
    <t>Total Current Debt Service (principal, interest, &amp; lease pmt)</t>
  </si>
  <si>
    <t>Non-Current Principal &amp; Lease Payments</t>
  </si>
  <si>
    <t>Intermediate term loan balances</t>
  </si>
  <si>
    <t>Values in blue-shaded areas are transferred to the balance sheet.</t>
  </si>
  <si>
    <t>Total Cash accounts for both cost and market value:</t>
  </si>
  <si>
    <t>Total Brokerage (Margin) accounts balance for both cost and market value:</t>
  </si>
  <si>
    <t>Total cost and market value:</t>
  </si>
  <si>
    <t>Total Cost and Market Values:</t>
  </si>
  <si>
    <t>Revenue Generating Inventory:</t>
  </si>
  <si>
    <t>Cost Generating Inventory:</t>
  </si>
  <si>
    <t>Total Other Current Assets:</t>
  </si>
  <si>
    <r>
      <rPr>
        <sz val="11"/>
        <color theme="1"/>
        <rFont val="Calibri"/>
        <family val="2"/>
        <scheme val="minor"/>
      </rPr>
      <t>Totals for Raised Breeding Livestock</t>
    </r>
    <r>
      <rPr>
        <b/>
        <sz val="11"/>
        <color theme="1"/>
        <rFont val="Calibri"/>
        <family val="2"/>
        <scheme val="minor"/>
      </rPr>
      <t>:</t>
    </r>
  </si>
  <si>
    <r>
      <rPr>
        <sz val="11"/>
        <color theme="1"/>
        <rFont val="Calibri"/>
        <family val="2"/>
        <scheme val="minor"/>
      </rPr>
      <t>Totals for Purchased Breeding Livestock</t>
    </r>
    <r>
      <rPr>
        <b/>
        <sz val="11"/>
        <color theme="1"/>
        <rFont val="Calibri"/>
        <family val="2"/>
        <scheme val="minor"/>
      </rPr>
      <t>:</t>
    </r>
  </si>
  <si>
    <t>Total Cost and Market Values, Personal Residence:</t>
  </si>
  <si>
    <t>Total Cost and Market Values, Land &amp; Improvements:</t>
  </si>
  <si>
    <t>Total Cost and Market Values, Buildings &amp; Improvements:</t>
  </si>
  <si>
    <t>Total Other Investments/Assets:</t>
  </si>
  <si>
    <t>Total Accounts Payable &amp; Credit Card Balance:</t>
  </si>
  <si>
    <t>Total Accrued Interest - accts payable, cr. cards, non-term (operating) loans:</t>
  </si>
  <si>
    <t>Total Balances Due - Non-Term (Operating) Loans:</t>
  </si>
  <si>
    <t>Total Intermediate Loan and Loss Carryover Balances, portion due beyond 12 months (Intermediate Liability):</t>
  </si>
  <si>
    <t>Total Accrued Interest, Current Portion (term loans) &amp; Long-Term Balances:</t>
  </si>
  <si>
    <t>Total Accrued Expenses/Liability:</t>
  </si>
  <si>
    <t>Total Federal Taxes Payable (transfer to BS)</t>
  </si>
  <si>
    <t>Total Federal Taxes Payable:</t>
  </si>
  <si>
    <t>Total Non-Fed Income Taxes:</t>
  </si>
  <si>
    <t xml:space="preserve"> Total Marked to Market Value of Open Hedges:</t>
  </si>
  <si>
    <t>Total Cost and Market Values, Machinery and Equipment:</t>
  </si>
  <si>
    <t>Total Leased Assets:</t>
  </si>
  <si>
    <t>Total Investment in Cooperatives:</t>
  </si>
  <si>
    <t>Values in blue-shaded areas are totals, but do not transfer to any balance sheet.</t>
  </si>
  <si>
    <t>Days Payment is Past Due</t>
  </si>
  <si>
    <t>Transferred to IS</t>
  </si>
  <si>
    <t>Hedging/Brokerage account balances</t>
  </si>
  <si>
    <t>Beginning Hedging/Brokerage Account Balance</t>
  </si>
  <si>
    <t>Beginning Marked-to-Market Value</t>
  </si>
  <si>
    <t>Ending Hedging/Brokerage Account Balance</t>
  </si>
  <si>
    <t>Ending Marked-to-Market Value</t>
  </si>
  <si>
    <t>Total Cash Income from Hedging</t>
  </si>
  <si>
    <t>Total Accrual Income from Hedging</t>
  </si>
  <si>
    <t>Based on Market Basis</t>
  </si>
  <si>
    <t>Balance Sheet</t>
  </si>
  <si>
    <t>From 'Depreciation Schedule' tab (recommended)</t>
  </si>
  <si>
    <t>Estimates of Economic Depreciation for Accrual Income Statement.  Note, one of these or another estimate must be entered in Column G. Tax depreciation can be used in column F.</t>
  </si>
  <si>
    <t>From IS Schedule 2 (on 'IS Schedules' tab)</t>
  </si>
  <si>
    <r>
      <t>Total Labor Ratio</t>
    </r>
    <r>
      <rPr>
        <vertAlign val="superscript"/>
        <sz val="12"/>
        <color theme="1"/>
        <rFont val="Calibri"/>
        <family val="2"/>
        <scheme val="minor"/>
      </rPr>
      <t>5</t>
    </r>
    <r>
      <rPr>
        <sz val="12"/>
        <color theme="1"/>
        <rFont val="Calibri"/>
        <family val="2"/>
        <scheme val="minor"/>
      </rPr>
      <t xml:space="preserve"> </t>
    </r>
    <r>
      <rPr>
        <sz val="10"/>
        <color theme="1"/>
        <rFont val="Calibri"/>
        <family val="2"/>
        <scheme val="minor"/>
      </rPr>
      <t>(includes unpaid labor &amp; mgt.)</t>
    </r>
  </si>
  <si>
    <t>Other Ratios &amp; Measures</t>
  </si>
  <si>
    <t>Working Capital:Debt Service, $</t>
  </si>
  <si>
    <r>
      <t xml:space="preserve">Burn Rate on Working Capital, years 
</t>
    </r>
    <r>
      <rPr>
        <sz val="9"/>
        <color theme="1"/>
        <rFont val="Calibri"/>
        <family val="2"/>
        <scheme val="minor"/>
      </rPr>
      <t>(years working capital can cover negative profits)</t>
    </r>
  </si>
  <si>
    <r>
      <t xml:space="preserve">Burn Rate on Scheduled Debt Service, years
</t>
    </r>
    <r>
      <rPr>
        <sz val="9"/>
        <color theme="1"/>
        <rFont val="Calibri"/>
        <family val="2"/>
        <scheme val="minor"/>
      </rPr>
      <t>(years working capital can cover term debt service)</t>
    </r>
  </si>
  <si>
    <r>
      <t>Wages Expense Ratio</t>
    </r>
    <r>
      <rPr>
        <vertAlign val="superscript"/>
        <sz val="12"/>
        <color theme="1"/>
        <rFont val="Calibri"/>
        <family val="2"/>
        <scheme val="minor"/>
      </rPr>
      <t>5</t>
    </r>
  </si>
  <si>
    <r>
      <t>Total Liabilities:EBITDA</t>
    </r>
    <r>
      <rPr>
        <vertAlign val="superscript"/>
        <sz val="11"/>
        <color theme="1"/>
        <rFont val="Calibri"/>
        <family val="2"/>
        <scheme val="minor"/>
      </rPr>
      <t>7</t>
    </r>
    <r>
      <rPr>
        <sz val="11"/>
        <color theme="1"/>
        <rFont val="Calibri"/>
        <family val="2"/>
        <scheme val="minor"/>
      </rPr>
      <t>, $</t>
    </r>
  </si>
  <si>
    <r>
      <t>Debt Efficiency, Term Debt:EBITDA</t>
    </r>
    <r>
      <rPr>
        <vertAlign val="superscript"/>
        <sz val="11"/>
        <color theme="1"/>
        <rFont val="Calibri"/>
        <family val="2"/>
        <scheme val="minor"/>
      </rPr>
      <t>6</t>
    </r>
    <r>
      <rPr>
        <sz val="11"/>
        <color theme="1"/>
        <rFont val="Calibri"/>
        <family val="2"/>
        <scheme val="minor"/>
      </rPr>
      <t>, $</t>
    </r>
  </si>
  <si>
    <t>Quick Ratio</t>
  </si>
  <si>
    <t>&gt;1</t>
  </si>
  <si>
    <t>Income From Operations (note, interest is not included in IFO)</t>
  </si>
  <si>
    <t>Minus:  Other farm expenses</t>
  </si>
  <si>
    <t>(a) Repayment and Replacement Capacity</t>
  </si>
  <si>
    <t xml:space="preserve"> (b) Term Debt Repayment and Replacement Capacity</t>
  </si>
  <si>
    <t>Prior year current portion of principal due on term loans, loss carryover, &amp; finance lease payments from beginning balance sheet</t>
  </si>
  <si>
    <t xml:space="preserve">Plus:  Interest paid on term debt, loss carryover, &amp; leases </t>
  </si>
  <si>
    <t>Plus:  Operating interest</t>
  </si>
  <si>
    <t>Plus:  Payments on unpaid operating debt from prior period</t>
  </si>
  <si>
    <t>Plus:  Total payments on non-farm expenses</t>
  </si>
  <si>
    <t xml:space="preserve"> (d) Total Uses of Repayment &amp; Replacement Capacity (a)
(Total Debt Service, principal and interest)</t>
  </si>
  <si>
    <t xml:space="preserve"> (e) Repayment Margin, a-d
      (amount remaining after debt service for unfunded capital 
       expenditures, aka Replacement Capacity)</t>
  </si>
  <si>
    <t xml:space="preserve"> (g) Replacement Margin, e-f
      (additional dollars left after Unfunded Capital Expenditure, 
       available for additional capital replacement or working capital)</t>
  </si>
  <si>
    <t>Estimates of what owner's invested capital "ought" to be to maintain and replace capital assets in a timely manner
                  Estimate 2 from 'Input Sheet' tab based on depreciation:</t>
  </si>
  <si>
    <t>Estimate 3 from 'Input Sheet' tab based on capital replacement:</t>
  </si>
  <si>
    <t>Term Debt &amp; Finance Lease Coverage Ratio b÷c</t>
  </si>
  <si>
    <t>Is Replacement Capacity (dollars available for asset replacement) &gt; Estimate of Unfinanced Capital Replacement</t>
  </si>
  <si>
    <t xml:space="preserve">               Cash paid for initial or advanced payment on a new finance lease</t>
  </si>
  <si>
    <t xml:space="preserve">Estimate 1: (purchases+advanced lease payments)-(new term loan)     </t>
  </si>
  <si>
    <r>
      <t xml:space="preserve">Owner Contributions, Withdrawals, and Labor Costs
</t>
    </r>
    <r>
      <rPr>
        <b/>
        <sz val="10"/>
        <color theme="1"/>
        <rFont val="Calibri"/>
        <family val="2"/>
        <scheme val="minor"/>
      </rPr>
      <t xml:space="preserve">     Note, complete Balance Sheet &amp; Income Statement before this section.</t>
    </r>
  </si>
  <si>
    <t>Sales from all other capital assets</t>
  </si>
  <si>
    <t>All other capital asset purchases</t>
  </si>
  <si>
    <t>Purchased Feed + Agronomic</t>
  </si>
  <si>
    <t>Estimate of total feed costs (purch. feed+agronmic-grain sales)</t>
  </si>
  <si>
    <r>
      <t xml:space="preserve">Depreciation is prorated in the first and last years of useful life based on the month the asset was put in service with the in-service date assumed to be the 1st day of the month.  Depreciation totals will change based on the year being analyzed, which is a user input in yellow-shaded cell B11.  All depreciation is straight-line.  
     </t>
    </r>
    <r>
      <rPr>
        <b/>
        <sz val="11"/>
        <color theme="1"/>
        <rFont val="Calibri"/>
        <family val="2"/>
        <scheme val="minor"/>
      </rPr>
      <t xml:space="preserve">  Machinery and Equipment = Rows 13-62           Buildings = Rows 63-82           Purchased Breeding Livestock = Rows 83-97           Other Depreciable Assets = Rows 98-116</t>
    </r>
  </si>
  <si>
    <r>
      <t xml:space="preserve">    Total Expenses </t>
    </r>
    <r>
      <rPr>
        <sz val="9"/>
        <color theme="1"/>
        <rFont val="Calibri"/>
        <family val="2"/>
        <scheme val="minor"/>
      </rPr>
      <t>(incl. depr, int., other farm, non-farm &amp; taxes)</t>
    </r>
  </si>
  <si>
    <t>Working Capital:Term Debt Service</t>
  </si>
  <si>
    <r>
      <t>Asset Turnover Ratio</t>
    </r>
    <r>
      <rPr>
        <vertAlign val="superscript"/>
        <sz val="12"/>
        <color theme="1"/>
        <rFont val="Calibri"/>
        <family val="2"/>
        <scheme val="minor"/>
      </rPr>
      <t>2</t>
    </r>
    <r>
      <rPr>
        <sz val="12"/>
        <color theme="1"/>
        <rFont val="Calibri"/>
        <family val="2"/>
        <scheme val="minor"/>
      </rPr>
      <t xml:space="preserve"> </t>
    </r>
  </si>
  <si>
    <t>Depreciation Expenses</t>
  </si>
  <si>
    <t>Interest Expenses</t>
  </si>
  <si>
    <t>Profits</t>
  </si>
  <si>
    <t>Wages</t>
  </si>
  <si>
    <t xml:space="preserve"> (c) Total Term Debt Principal and Interest Obligations</t>
  </si>
  <si>
    <t xml:space="preserve">    Total principal due this year &amp; interest paid</t>
  </si>
  <si>
    <t>Principal due from beginning BS, Interest paid from ending IS</t>
  </si>
  <si>
    <t xml:space="preserve">    Total term principal due &amp; term interest paid</t>
  </si>
  <si>
    <t xml:space="preserve">    Total (Term+Operating) principal balances</t>
  </si>
  <si>
    <t xml:space="preserve">    Total Term principal balances</t>
  </si>
  <si>
    <t xml:space="preserve">    Total Current Liabilities due this year</t>
  </si>
  <si>
    <t xml:space="preserve">    Total Liabilities due this year</t>
  </si>
  <si>
    <t>Total labor per cwt</t>
  </si>
  <si>
    <t>Total labor per cwtEQ</t>
  </si>
  <si>
    <t>Total labor per cow</t>
  </si>
  <si>
    <t>Total Ending BS Liabilities per cwt</t>
  </si>
  <si>
    <t>Total Ending BS Liabilities per cwtEQ</t>
  </si>
  <si>
    <t>Total Ending BS Liabilities per cow</t>
  </si>
  <si>
    <t>&lt; $20</t>
  </si>
  <si>
    <r>
      <t>Total All Costs</t>
    </r>
    <r>
      <rPr>
        <sz val="9"/>
        <color theme="1"/>
        <rFont val="Calibri"/>
        <family val="2"/>
        <scheme val="minor"/>
      </rPr>
      <t xml:space="preserve"> (operating, non-operating, non-farm)</t>
    </r>
  </si>
  <si>
    <t>Total Costs of Production based on unitEQ</t>
  </si>
  <si>
    <t>Any questions, comments, or feedback, contact Kevin Bernhardt at:
          bernhark@uwplatt.edu</t>
  </si>
  <si>
    <r>
      <t xml:space="preserve">Financial Statement and Analysis System
</t>
    </r>
    <r>
      <rPr>
        <b/>
        <sz val="12"/>
        <color theme="1"/>
        <rFont val="Calibri"/>
        <family val="2"/>
        <scheme val="minor"/>
      </rPr>
      <t>(ver 01-2023)</t>
    </r>
    <r>
      <rPr>
        <b/>
        <sz val="14"/>
        <color theme="1"/>
        <rFont val="Calibri"/>
        <family val="2"/>
        <scheme val="minor"/>
      </rPr>
      <t xml:space="preserve">
by
Kevin Bernhardt
Farm Management Specialist 
UW-Madison Division of Extension &amp; Center for Dairy Profitability
Professor, UW-Platteville School of Agriculture
Jan 2023
bernhark@uwplatt.edu</t>
    </r>
  </si>
  <si>
    <t>Estimate 2: (Accrual IS Depreciation*1.10 * % financed by owners)</t>
  </si>
  <si>
    <t xml:space="preserve">     Estimate 1 reflects the amount of owner financing based on the assumption that all new term loans were used to purchase capital assets.  Trade-in values are included as part of owner financing.
     Estimates 2 and 3 reflect more what owner financing "ought" to be based on a percentage of depreciation (estimate 2) and capital asset replacement via the market value of capital assets (estimate 3).  These values give a total estimate of capital asset purchases which are then multiplied by the percent financed by owners to reflect the owner's portion of financing.    
     Note, the income statement and income statement schedule 2 must be completed first to get a value for estimate 2 and 3.</t>
  </si>
  <si>
    <r>
      <t>Schedule D:  Revenue Generating Inventory</t>
    </r>
    <r>
      <rPr>
        <b/>
        <u/>
        <vertAlign val="superscript"/>
        <sz val="14"/>
        <color theme="1"/>
        <rFont val="Calibri"/>
        <family val="2"/>
        <scheme val="minor"/>
      </rPr>
      <t xml:space="preserve"> 1,2</t>
    </r>
    <r>
      <rPr>
        <b/>
        <u/>
        <sz val="14"/>
        <color theme="1"/>
        <rFont val="Calibri"/>
        <family val="2"/>
        <scheme val="minor"/>
      </rPr>
      <t xml:space="preserve">
</t>
    </r>
    <r>
      <rPr>
        <b/>
        <sz val="14"/>
        <color theme="1"/>
        <rFont val="Calibri"/>
        <family val="2"/>
        <scheme val="minor"/>
      </rPr>
      <t>Category D1: Raised/Grown inventory with intent to sell 
Category D2: Raised/Grown inventory with intent to use as an input
Category D3: Purchased inventory with the intent to add value and resell</t>
    </r>
  </si>
  <si>
    <r>
      <rPr>
        <b/>
        <u/>
        <sz val="14"/>
        <color theme="1"/>
        <rFont val="Calibri"/>
        <family val="2"/>
        <scheme val="minor"/>
      </rPr>
      <t>Category D2</t>
    </r>
    <r>
      <rPr>
        <b/>
        <sz val="14"/>
        <color theme="1"/>
        <rFont val="Calibri"/>
        <family val="2"/>
        <scheme val="minor"/>
      </rPr>
      <t>: 
Raised/Grown With Intent to use as an Input (e.g. crops raised for feed)</t>
    </r>
    <r>
      <rPr>
        <b/>
        <vertAlign val="superscript"/>
        <sz val="14"/>
        <color theme="1"/>
        <rFont val="Calibri"/>
        <family val="2"/>
        <scheme val="minor"/>
      </rPr>
      <t>4</t>
    </r>
  </si>
  <si>
    <r>
      <t>Schedule E: Cost Generating Inventory</t>
    </r>
    <r>
      <rPr>
        <b/>
        <vertAlign val="superscript"/>
        <sz val="14"/>
        <color theme="1"/>
        <rFont val="Calibri"/>
        <family val="2"/>
        <scheme val="minor"/>
      </rPr>
      <t>1,2</t>
    </r>
    <r>
      <rPr>
        <b/>
        <u/>
        <sz val="14"/>
        <color theme="1"/>
        <rFont val="Calibri"/>
        <family val="2"/>
        <scheme val="minor"/>
      </rPr>
      <t xml:space="preserve">
</t>
    </r>
    <r>
      <rPr>
        <b/>
        <sz val="14"/>
        <color theme="1"/>
        <rFont val="Calibri"/>
        <family val="2"/>
        <scheme val="minor"/>
      </rPr>
      <t xml:space="preserve"> Category E1:  Purchased feed Inventory
Category E2: Prepaid expenses and supplies
Category E3: Direct purchased expenses in growing crops</t>
    </r>
  </si>
  <si>
    <r>
      <t xml:space="preserve">  2  </t>
    </r>
    <r>
      <rPr>
        <sz val="11"/>
        <color theme="1"/>
        <rFont val="Calibri"/>
        <family val="2"/>
        <scheme val="minor"/>
      </rPr>
      <t xml:space="preserve">The initial value of a capital lease is the PV of payments to be made including any down-payments or advanced payments.  The value is both an asset and a liability with the liability being split between what is due currently and what remains. </t>
    </r>
  </si>
  <si>
    <t>Depreciation:    Cash=Tax,    Accrual=Economic</t>
  </si>
  <si>
    <t>Econ: Depr Sched or IS Sch 2. 
Tax Depr: Ln 14 of Sched F</t>
  </si>
  <si>
    <r>
      <t xml:space="preserve">Total, </t>
    </r>
    <r>
      <rPr>
        <b/>
        <sz val="11"/>
        <color theme="6" tint="-0.499984740745262"/>
        <rFont val="Calibri"/>
        <family val="2"/>
        <scheme val="minor"/>
      </rPr>
      <t>Must be manually transferred to IS:</t>
    </r>
  </si>
  <si>
    <t>Total Costs of Production, Residual Claimant</t>
  </si>
  <si>
    <t xml:space="preserve">Accrual operating expenses (before depreciation and interest).  Less than 80% is cause for concern, but if management salaries are included then ratios may be 10% higher, or a 90% "red" benchmark. </t>
  </si>
  <si>
    <r>
      <rPr>
        <b/>
        <sz val="20"/>
        <color theme="1"/>
        <rFont val="Calibri"/>
        <family val="2"/>
        <scheme val="minor"/>
      </rPr>
      <t>Cost of Production for Primary and Secondary Products</t>
    </r>
    <r>
      <rPr>
        <b/>
        <sz val="24"/>
        <color theme="1"/>
        <rFont val="Calibri"/>
        <family val="2"/>
        <scheme val="minor"/>
      </rPr>
      <t xml:space="preserve">
</t>
    </r>
    <r>
      <rPr>
        <sz val="11"/>
        <color theme="1"/>
        <rFont val="Calibri"/>
        <family val="2"/>
        <scheme val="minor"/>
      </rPr>
      <t xml:space="preserve"> A challenge in calculating costs of production per unit of production is that there may be costs for producing one product mixed in with those for other products.  For example, labor costs may include labor for growing cash corn, feeding market steers, and a dairy enterprise.  If you divide total labor costs by hundredweight of milk produced then it captures not only the labor for the dairy, but also that for corn and market steers.  Enterprise accounting is the gold standard for determining accurate costs of production.  This page allows users to estimate enterprise costs of production by entering what percent of each cost item is attributable to the production of a particular product (corn, market steers, or milk for example).</t>
    </r>
  </si>
  <si>
    <t>Income Taxes and Non-Farm Expenses</t>
  </si>
  <si>
    <r>
      <t xml:space="preserve"> </t>
    </r>
    <r>
      <rPr>
        <vertAlign val="superscript"/>
        <sz val="11"/>
        <color theme="1"/>
        <rFont val="Calibri"/>
        <family val="2"/>
        <scheme val="minor"/>
      </rPr>
      <t>2</t>
    </r>
    <r>
      <rPr>
        <sz val="11"/>
        <color theme="1"/>
        <rFont val="Calibri"/>
        <family val="2"/>
        <scheme val="minor"/>
      </rPr>
      <t xml:space="preserve">  Residual claimant subtracts all sales from sources other than the primary product from total operating costs and then divides the difference by the units of product sold to get a cost of production estimate.  For example, for milk, all non-milk sales income (except government payments) is subtracted from costs and then divided by total hundredweight.  For co-dairy products (e.g. calves, cull cows), it assumes that income from other sources is a recovery of costs in producing milk vs a separate source of income.  For non-dairy income (e.g. cash crops) the assumption is that income is close to equaling the expenses.  The more that is not true, the more inaccurate the residual claimant method.  The method tends to work well if sales of the primary product are 80% or more of total income.  Like cwtEQ, it is an estimate that attempts to adjust for non-milk expenses.</t>
    </r>
  </si>
  <si>
    <t>Investing Activities</t>
  </si>
  <si>
    <t>Other operating income (not breeding livestock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</si>
</sst>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
    <numFmt numFmtId="167" formatCode="0.0%"/>
    <numFmt numFmtId="168" formatCode="m/d/yy;@"/>
    <numFmt numFmtId="169" formatCode="#,##0.0_);\(#,##0.0\)"/>
    <numFmt numFmtId="170" formatCode="0.000_);[Red]\(0.000\)"/>
    <numFmt numFmtId="171" formatCode="0.000"/>
    <numFmt numFmtId="172" formatCode="0.0"/>
    <numFmt numFmtId="173" formatCode="0_);\(0\)"/>
    <numFmt numFmtId="174" formatCode="_(&quot;$&quot;* #,##0_);_(&quot;$&quot;* \(#,##0\);_(&quot;$&quot;* &quot;-&quot;??_);_(@_)"/>
    <numFmt numFmtId="175" formatCode="#,##0.0_);[Red]\(#,##0.0\)"/>
    <numFmt numFmtId="176" formatCode="0.0_);[Red]\(0.0\)"/>
  </numFmts>
  <fonts count="59"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1"/>
      <name val="Times New Roman"/>
      <family val="1"/>
    </font>
    <font>
      <sz val="9"/>
      <color indexed="81"/>
      <name val="Tahoma"/>
      <family val="2"/>
    </font>
    <font>
      <b/>
      <u/>
      <sz val="14"/>
      <color theme="1"/>
      <name val="Calibri"/>
      <family val="2"/>
      <scheme val="minor"/>
    </font>
    <font>
      <u/>
      <sz val="11"/>
      <color theme="1"/>
      <name val="Calibri"/>
      <family val="2"/>
      <scheme val="minor"/>
    </font>
    <font>
      <sz val="10"/>
      <color theme="1"/>
      <name val="Calibri"/>
      <family val="2"/>
      <scheme val="minor"/>
    </font>
    <font>
      <b/>
      <sz val="9"/>
      <color indexed="81"/>
      <name val="Tahoma"/>
      <family val="2"/>
    </font>
    <font>
      <sz val="9"/>
      <color theme="1"/>
      <name val="Calibri"/>
      <family val="2"/>
      <scheme val="minor"/>
    </font>
    <font>
      <sz val="1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vertAlign val="superscript"/>
      <sz val="11"/>
      <color theme="1"/>
      <name val="Calibri"/>
      <family val="2"/>
      <scheme val="minor"/>
    </font>
    <font>
      <b/>
      <i/>
      <u/>
      <sz val="16"/>
      <color theme="1"/>
      <name val="Calibri"/>
      <family val="2"/>
      <scheme val="minor"/>
    </font>
    <font>
      <b/>
      <u/>
      <vertAlign val="superscript"/>
      <sz val="14"/>
      <color theme="1"/>
      <name val="Calibri"/>
      <family val="2"/>
      <scheme val="minor"/>
    </font>
    <font>
      <sz val="11"/>
      <color rgb="FFC00000"/>
      <name val="Calibri"/>
      <family val="2"/>
      <scheme val="minor"/>
    </font>
    <font>
      <b/>
      <u/>
      <sz val="24"/>
      <color theme="1"/>
      <name val="Calibri"/>
      <family val="2"/>
      <scheme val="minor"/>
    </font>
    <font>
      <b/>
      <u/>
      <sz val="18"/>
      <color theme="1"/>
      <name val="Calibri"/>
      <family val="2"/>
      <scheme val="minor"/>
    </font>
    <font>
      <sz val="11"/>
      <color rgb="FFFF0000"/>
      <name val="Calibri"/>
      <family val="2"/>
      <scheme val="minor"/>
    </font>
    <font>
      <sz val="9"/>
      <name val="Calibri"/>
      <family val="2"/>
      <scheme val="minor"/>
    </font>
    <font>
      <i/>
      <sz val="12"/>
      <color theme="1"/>
      <name val="Calibri"/>
      <family val="2"/>
      <scheme val="minor"/>
    </font>
    <font>
      <vertAlign val="superscript"/>
      <sz val="12"/>
      <color theme="1"/>
      <name val="Calibri"/>
      <family val="2"/>
      <scheme val="minor"/>
    </font>
    <font>
      <b/>
      <vertAlign val="superscript"/>
      <sz val="11"/>
      <color theme="1"/>
      <name val="Calibri"/>
      <family val="2"/>
      <scheme val="minor"/>
    </font>
    <font>
      <u/>
      <sz val="12"/>
      <color theme="1"/>
      <name val="Calibri"/>
      <family val="2"/>
      <scheme val="minor"/>
    </font>
    <font>
      <b/>
      <sz val="12"/>
      <color theme="1"/>
      <name val="Calibri"/>
      <family val="2"/>
    </font>
    <font>
      <b/>
      <vertAlign val="superscript"/>
      <sz val="14"/>
      <color theme="1"/>
      <name val="Calibri"/>
      <family val="2"/>
      <scheme val="minor"/>
    </font>
    <font>
      <sz val="11"/>
      <color rgb="FF000000"/>
      <name val="Calibri"/>
      <family val="2"/>
      <scheme val="minor"/>
    </font>
    <font>
      <sz val="12"/>
      <color rgb="FF000000"/>
      <name val="Times New Roman"/>
      <family val="1"/>
    </font>
    <font>
      <b/>
      <sz val="20"/>
      <color theme="1"/>
      <name val="Calibri"/>
      <family val="2"/>
      <scheme val="minor"/>
    </font>
    <font>
      <sz val="8"/>
      <name val="Calibri"/>
      <family val="2"/>
      <scheme val="minor"/>
    </font>
    <font>
      <b/>
      <sz val="8"/>
      <color theme="1"/>
      <name val="Calibri"/>
      <family val="2"/>
      <scheme val="minor"/>
    </font>
    <font>
      <b/>
      <u/>
      <sz val="8"/>
      <color theme="1"/>
      <name val="Calibri"/>
      <family val="2"/>
      <scheme val="minor"/>
    </font>
    <font>
      <b/>
      <u/>
      <vertAlign val="superscript"/>
      <sz val="12"/>
      <color theme="1"/>
      <name val="Calibri"/>
      <family val="2"/>
      <scheme val="minor"/>
    </font>
    <font>
      <vertAlign val="superscript"/>
      <sz val="9"/>
      <color theme="1"/>
      <name val="Calibri"/>
      <family val="2"/>
      <scheme val="minor"/>
    </font>
    <font>
      <b/>
      <sz val="24"/>
      <color theme="1"/>
      <name val="Calibri"/>
      <family val="2"/>
      <scheme val="minor"/>
    </font>
    <font>
      <b/>
      <u/>
      <sz val="9"/>
      <color indexed="81"/>
      <name val="Tahoma"/>
      <family val="2"/>
    </font>
    <font>
      <i/>
      <sz val="10"/>
      <color theme="1"/>
      <name val="Calibri"/>
      <family val="2"/>
      <scheme val="minor"/>
    </font>
    <font>
      <i/>
      <u/>
      <sz val="12"/>
      <color theme="1"/>
      <name val="Calibri"/>
      <family val="2"/>
      <scheme val="minor"/>
    </font>
    <font>
      <vertAlign val="superscript"/>
      <sz val="10"/>
      <color theme="1"/>
      <name val="Calibri"/>
      <family val="2"/>
      <scheme val="minor"/>
    </font>
    <font>
      <sz val="11"/>
      <color theme="0" tint="-0.499984740745262"/>
      <name val="Calibri"/>
      <family val="2"/>
      <scheme val="minor"/>
    </font>
    <font>
      <sz val="8"/>
      <color theme="0" tint="-0.499984740745262"/>
      <name val="Calibri"/>
      <family val="2"/>
      <scheme val="minor"/>
    </font>
    <font>
      <b/>
      <i/>
      <u/>
      <sz val="14"/>
      <color theme="1"/>
      <name val="Calibri"/>
      <family val="2"/>
      <scheme val="minor"/>
    </font>
    <font>
      <b/>
      <i/>
      <sz val="16"/>
      <color theme="1"/>
      <name val="Calibri"/>
      <family val="2"/>
      <scheme val="minor"/>
    </font>
    <font>
      <u val="double"/>
      <sz val="12"/>
      <color theme="1"/>
      <name val="Calibri"/>
      <family val="2"/>
      <scheme val="minor"/>
    </font>
    <font>
      <sz val="11"/>
      <color theme="1"/>
      <name val="Calibri"/>
      <family val="2"/>
    </font>
    <font>
      <sz val="9.9"/>
      <color theme="1"/>
      <name val="Calibri"/>
      <family val="2"/>
    </font>
    <font>
      <b/>
      <sz val="11"/>
      <color theme="6" tint="-0.499984740745262"/>
      <name val="Calibri"/>
      <family val="2"/>
      <scheme val="minor"/>
    </font>
    <font>
      <sz val="9"/>
      <color rgb="FF000000"/>
      <name val="Calibri"/>
      <family val="2"/>
      <scheme val="minor"/>
    </font>
    <font>
      <i/>
      <u/>
      <sz val="10"/>
      <color theme="1"/>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8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B3"/>
        <bgColor indexed="64"/>
      </patternFill>
    </fill>
    <fill>
      <patternFill patternType="solid">
        <fgColor theme="1" tint="0.499984740745262"/>
        <bgColor indexed="64"/>
      </patternFill>
    </fill>
    <fill>
      <patternFill patternType="solid">
        <fgColor theme="5" tint="0.79998168889431442"/>
        <bgColor indexed="64"/>
      </patternFill>
    </fill>
  </fills>
  <borders count="2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right/>
      <top/>
      <bottom style="thin">
        <color auto="1"/>
      </bottom>
      <diagonal/>
    </border>
    <border>
      <left style="medium">
        <color indexed="64"/>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ck">
        <color auto="1"/>
      </right>
      <top style="thin">
        <color auto="1"/>
      </top>
      <bottom/>
      <diagonal/>
    </border>
    <border>
      <left style="thin">
        <color indexed="64"/>
      </left>
      <right/>
      <top style="thin">
        <color indexed="64"/>
      </top>
      <bottom style="thick">
        <color indexed="64"/>
      </bottom>
      <diagonal/>
    </border>
    <border>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right/>
      <top/>
      <bottom style="medium">
        <color indexed="64"/>
      </bottom>
      <diagonal/>
    </border>
    <border>
      <left style="thin">
        <color indexed="64"/>
      </left>
      <right/>
      <top/>
      <bottom style="thin">
        <color indexed="64"/>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auto="1"/>
      </right>
      <top/>
      <bottom/>
      <diagonal/>
    </border>
    <border>
      <left style="thin">
        <color auto="1"/>
      </left>
      <right/>
      <top/>
      <bottom/>
      <diagonal/>
    </border>
    <border>
      <left style="thin">
        <color auto="1"/>
      </left>
      <right style="thin">
        <color auto="1"/>
      </right>
      <top style="double">
        <color indexed="64"/>
      </top>
      <bottom/>
      <diagonal/>
    </border>
    <border>
      <left style="thin">
        <color auto="1"/>
      </left>
      <right style="thin">
        <color auto="1"/>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style="medium">
        <color indexed="64"/>
      </right>
      <top style="thin">
        <color indexed="64"/>
      </top>
      <bottom style="double">
        <color indexed="64"/>
      </bottom>
      <diagonal/>
    </border>
    <border>
      <left style="thin">
        <color auto="1"/>
      </left>
      <right style="medium">
        <color indexed="64"/>
      </right>
      <top/>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bottom style="medium">
        <color auto="1"/>
      </bottom>
      <diagonal/>
    </border>
    <border>
      <left/>
      <right style="thin">
        <color auto="1"/>
      </right>
      <top/>
      <bottom style="thin">
        <color auto="1"/>
      </bottom>
      <diagonal/>
    </border>
    <border>
      <left/>
      <right/>
      <top style="thin">
        <color auto="1"/>
      </top>
      <bottom/>
      <diagonal/>
    </border>
    <border>
      <left/>
      <right/>
      <top style="thick">
        <color auto="1"/>
      </top>
      <bottom/>
      <diagonal/>
    </border>
    <border>
      <left/>
      <right style="medium">
        <color indexed="64"/>
      </right>
      <top/>
      <bottom style="medium">
        <color indexed="64"/>
      </bottom>
      <diagonal/>
    </border>
    <border>
      <left/>
      <right style="thick">
        <color indexed="64"/>
      </right>
      <top style="thick">
        <color indexed="64"/>
      </top>
      <bottom/>
      <diagonal/>
    </border>
    <border>
      <left style="thick">
        <color indexed="64"/>
      </left>
      <right/>
      <top style="thick">
        <color indexed="64"/>
      </top>
      <bottom/>
      <diagonal/>
    </border>
    <border>
      <left/>
      <right style="thin">
        <color indexed="64"/>
      </right>
      <top style="medium">
        <color indexed="64"/>
      </top>
      <bottom/>
      <diagonal/>
    </border>
    <border>
      <left style="thin">
        <color auto="1"/>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0" tint="-0.24994659260841701"/>
      </right>
      <top style="thin">
        <color auto="1"/>
      </top>
      <bottom style="thin">
        <color theme="0" tint="-0.24994659260841701"/>
      </bottom>
      <diagonal/>
    </border>
    <border>
      <left style="thin">
        <color theme="0" tint="-0.24994659260841701"/>
      </left>
      <right style="medium">
        <color indexed="64"/>
      </right>
      <top style="thin">
        <color auto="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right/>
      <top style="thin">
        <color theme="0" tint="-0.24994659260841701"/>
      </top>
      <bottom style="medium">
        <color auto="1"/>
      </bottom>
      <diagonal/>
    </border>
    <border>
      <left/>
      <right style="thin">
        <color theme="0" tint="-0.24994659260841701"/>
      </right>
      <top style="thin">
        <color theme="0" tint="-0.24994659260841701"/>
      </top>
      <bottom style="medium">
        <color auto="1"/>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auto="1"/>
      </left>
      <right style="thin">
        <color theme="0" tint="-0.34998626667073579"/>
      </right>
      <top style="thin">
        <color auto="1"/>
      </top>
      <bottom style="thin">
        <color theme="0" tint="-0.34998626667073579"/>
      </bottom>
      <diagonal/>
    </border>
    <border>
      <left style="thin">
        <color theme="0" tint="-0.34998626667073579"/>
      </left>
      <right style="medium">
        <color auto="1"/>
      </right>
      <top style="thin">
        <color auto="1"/>
      </top>
      <bottom style="thin">
        <color theme="0" tint="-0.34998626667073579"/>
      </bottom>
      <diagonal/>
    </border>
    <border>
      <left style="medium">
        <color auto="1"/>
      </left>
      <right style="thin">
        <color theme="0" tint="-0.34998626667073579"/>
      </right>
      <top style="thin">
        <color theme="0" tint="-0.34998626667073579"/>
      </top>
      <bottom style="thin">
        <color auto="1"/>
      </bottom>
      <diagonal/>
    </border>
    <border>
      <left style="thin">
        <color theme="0" tint="-0.34998626667073579"/>
      </left>
      <right style="medium">
        <color auto="1"/>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style="medium">
        <color auto="1"/>
      </left>
      <right/>
      <top style="thin">
        <color theme="0" tint="-0.34998626667073579"/>
      </top>
      <bottom style="thin">
        <color theme="0" tint="-0.34998626667073579"/>
      </bottom>
      <diagonal/>
    </border>
    <border>
      <left style="medium">
        <color auto="1"/>
      </left>
      <right/>
      <top style="thin">
        <color theme="0" tint="-0.34998626667073579"/>
      </top>
      <bottom style="medium">
        <color indexed="64"/>
      </bottom>
      <diagonal/>
    </border>
    <border>
      <left style="medium">
        <color auto="1"/>
      </left>
      <right/>
      <top style="medium">
        <color auto="1"/>
      </top>
      <bottom style="thin">
        <color theme="0" tint="-0.34998626667073579"/>
      </bottom>
      <diagonal/>
    </border>
    <border>
      <left/>
      <right/>
      <top style="medium">
        <color auto="1"/>
      </top>
      <bottom style="thin">
        <color theme="0" tint="-0.34998626667073579"/>
      </bottom>
      <diagonal/>
    </border>
    <border>
      <left style="thin">
        <color theme="0" tint="-0.34998626667073579"/>
      </left>
      <right/>
      <top style="medium">
        <color auto="1"/>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right/>
      <top/>
      <bottom style="thin">
        <color theme="0" tint="-0.34998626667073579"/>
      </bottom>
      <diagonal/>
    </border>
    <border>
      <left/>
      <right style="thin">
        <color theme="0" tint="-0.34998626667073579"/>
      </right>
      <top/>
      <bottom/>
      <diagonal/>
    </border>
    <border>
      <left style="medium">
        <color auto="1"/>
      </left>
      <right/>
      <top style="thin">
        <color theme="0" tint="-0.24994659260841701"/>
      </top>
      <bottom style="medium">
        <color auto="1"/>
      </bottom>
      <diagonal/>
    </border>
    <border>
      <left/>
      <right style="medium">
        <color auto="1"/>
      </right>
      <top style="thin">
        <color theme="0" tint="-0.24994659260841701"/>
      </top>
      <bottom style="medium">
        <color auto="1"/>
      </bottom>
      <diagonal/>
    </border>
    <border>
      <left style="medium">
        <color auto="1"/>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bottom style="thin">
        <color theme="0" tint="-0.34998626667073579"/>
      </bottom>
      <diagonal/>
    </border>
    <border>
      <left/>
      <right style="medium">
        <color auto="1"/>
      </right>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medium">
        <color indexed="64"/>
      </left>
      <right style="thin">
        <color theme="0" tint="-0.34998626667073579"/>
      </right>
      <top style="thin">
        <color theme="0" tint="-0.34998626667073579"/>
      </top>
      <bottom/>
      <diagonal/>
    </border>
    <border>
      <left style="medium">
        <color indexed="64"/>
      </left>
      <right style="thin">
        <color theme="0" tint="-0.34998626667073579"/>
      </right>
      <top/>
      <bottom style="medium">
        <color indexed="64"/>
      </bottom>
      <diagonal/>
    </border>
    <border>
      <left style="medium">
        <color auto="1"/>
      </left>
      <right/>
      <top style="thin">
        <color theme="0" tint="-0.34998626667073579"/>
      </top>
      <bottom/>
      <diagonal/>
    </border>
    <border>
      <left style="medium">
        <color indexed="64"/>
      </left>
      <right style="thin">
        <color theme="0" tint="-0.34998626667073579"/>
      </right>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style="medium">
        <color indexed="64"/>
      </right>
      <top style="thin">
        <color theme="0" tint="-0.34998626667073579"/>
      </top>
      <bottom style="medium">
        <color auto="1"/>
      </bottom>
      <diagonal/>
    </border>
    <border>
      <left style="thin">
        <color theme="0" tint="-0.34998626667073579"/>
      </left>
      <right/>
      <top/>
      <bottom/>
      <diagonal/>
    </border>
    <border>
      <left style="medium">
        <color auto="1"/>
      </left>
      <right style="medium">
        <color auto="1"/>
      </right>
      <top style="medium">
        <color auto="1"/>
      </top>
      <bottom style="thin">
        <color theme="0" tint="-0.34998626667073579"/>
      </bottom>
      <diagonal/>
    </border>
    <border>
      <left style="medium">
        <color auto="1"/>
      </left>
      <right style="medium">
        <color auto="1"/>
      </right>
      <top style="thin">
        <color theme="0" tint="-0.34998626667073579"/>
      </top>
      <bottom style="thin">
        <color theme="0" tint="-0.34998626667073579"/>
      </bottom>
      <diagonal/>
    </border>
    <border>
      <left/>
      <right/>
      <top style="medium">
        <color indexed="64"/>
      </top>
      <bottom style="thin">
        <color theme="0" tint="-0.499984740745262"/>
      </bottom>
      <diagonal/>
    </border>
    <border>
      <left style="thin">
        <color theme="0" tint="-0.34998626667073579"/>
      </left>
      <right style="medium">
        <color indexed="64"/>
      </right>
      <top style="thin">
        <color theme="0" tint="-0.34998626667073579"/>
      </top>
      <bottom/>
      <diagonal/>
    </border>
    <border>
      <left/>
      <right style="thick">
        <color auto="1"/>
      </right>
      <top style="thin">
        <color auto="1"/>
      </top>
      <bottom style="medium">
        <color indexed="64"/>
      </bottom>
      <diagonal/>
    </border>
    <border>
      <left/>
      <right style="thin">
        <color theme="0" tint="-0.34998626667073579"/>
      </right>
      <top style="thin">
        <color indexed="64"/>
      </top>
      <bottom style="thin">
        <color theme="0" tint="-0.34998626667073579"/>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auto="1"/>
      </right>
      <top style="medium">
        <color indexed="64"/>
      </top>
      <bottom style="thin">
        <color indexed="64"/>
      </bottom>
      <diagonal/>
    </border>
    <border>
      <left style="thin">
        <color indexed="64"/>
      </left>
      <right/>
      <top style="thin">
        <color indexed="64"/>
      </top>
      <bottom style="medium">
        <color indexed="64"/>
      </bottom>
      <diagonal/>
    </border>
    <border>
      <left style="thin">
        <color theme="0" tint="-0.34998626667073579"/>
      </left>
      <right/>
      <top style="medium">
        <color auto="1"/>
      </top>
      <bottom/>
      <diagonal/>
    </border>
    <border>
      <left/>
      <right style="thin">
        <color theme="0" tint="-0.34998626667073579"/>
      </right>
      <top style="thin">
        <color theme="0" tint="-0.34998626667073579"/>
      </top>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auto="1"/>
      </right>
      <top style="thin">
        <color indexed="64"/>
      </top>
      <bottom style="thin">
        <color theme="0" tint="-0.34998626667073579"/>
      </bottom>
      <diagonal/>
    </border>
    <border>
      <left style="medium">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indexed="64"/>
      </left>
      <right style="thick">
        <color auto="1"/>
      </right>
      <top style="medium">
        <color auto="1"/>
      </top>
      <bottom style="medium">
        <color indexed="64"/>
      </bottom>
      <diagonal/>
    </border>
    <border>
      <left style="thick">
        <color auto="1"/>
      </left>
      <right style="thick">
        <color auto="1"/>
      </right>
      <top style="medium">
        <color auto="1"/>
      </top>
      <bottom style="medium">
        <color indexed="64"/>
      </bottom>
      <diagonal/>
    </border>
    <border>
      <left style="thick">
        <color auto="1"/>
      </left>
      <right style="medium">
        <color indexed="64"/>
      </right>
      <top style="medium">
        <color auto="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medium">
        <color auto="1"/>
      </left>
      <right style="thin">
        <color theme="0" tint="-0.24994659260841701"/>
      </right>
      <top style="thin">
        <color theme="0" tint="-0.34998626667073579"/>
      </top>
      <bottom style="thin">
        <color theme="0" tint="-0.34998626667073579"/>
      </bottom>
      <diagonal/>
    </border>
    <border>
      <left/>
      <right/>
      <top style="thin">
        <color theme="0" tint="-0.499984740745262"/>
      </top>
      <bottom style="thin">
        <color theme="0" tint="-0.24994659260841701"/>
      </bottom>
      <diagonal/>
    </border>
    <border>
      <left/>
      <right style="medium">
        <color indexed="64"/>
      </right>
      <top style="thin">
        <color theme="0" tint="-0.499984740745262"/>
      </top>
      <bottom style="thin">
        <color theme="0" tint="-0.24994659260841701"/>
      </bottom>
      <diagonal/>
    </border>
    <border>
      <left style="medium">
        <color indexed="64"/>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n">
        <color theme="0" tint="-0.34998626667073579"/>
      </right>
      <top style="thin">
        <color theme="0" tint="-0.24994659260841701"/>
      </top>
      <bottom style="medium">
        <color indexed="64"/>
      </bottom>
      <diagonal/>
    </border>
    <border>
      <left style="thin">
        <color theme="0" tint="-0.34998626667073579"/>
      </left>
      <right style="medium">
        <color indexed="64"/>
      </right>
      <top style="thin">
        <color theme="0" tint="-0.24994659260841701"/>
      </top>
      <bottom style="medium">
        <color indexed="64"/>
      </bottom>
      <diagonal/>
    </border>
    <border>
      <left style="medium">
        <color indexed="64"/>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n">
        <color theme="0" tint="-0.34998626667073579"/>
      </left>
      <right style="medium">
        <color indexed="64"/>
      </right>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medium">
        <color indexed="64"/>
      </right>
      <top style="thin">
        <color theme="0" tint="-0.34998626667073579"/>
      </top>
      <bottom/>
      <diagonal/>
    </border>
    <border>
      <left style="medium">
        <color auto="1"/>
      </left>
      <right/>
      <top style="thin">
        <color theme="0" tint="-0.34998626667073579"/>
      </top>
      <bottom style="thin">
        <color theme="0" tint="-0.24994659260841701"/>
      </bottom>
      <diagonal/>
    </border>
    <border>
      <left style="medium">
        <color auto="1"/>
      </left>
      <right/>
      <top style="thin">
        <color theme="0" tint="-0.24994659260841701"/>
      </top>
      <bottom style="thin">
        <color theme="0" tint="-0.34998626667073579"/>
      </bottom>
      <diagonal/>
    </border>
    <border>
      <left/>
      <right/>
      <top style="thin">
        <color theme="0" tint="-0.24994659260841701"/>
      </top>
      <bottom/>
      <diagonal/>
    </border>
    <border>
      <left/>
      <right style="thin">
        <color theme="0" tint="-0.34998626667073579"/>
      </right>
      <top style="thin">
        <color theme="0" tint="-0.24994659260841701"/>
      </top>
      <bottom/>
      <diagonal/>
    </border>
    <border>
      <left style="thin">
        <color theme="0" tint="-0.34998626667073579"/>
      </left>
      <right style="medium">
        <color indexed="64"/>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auto="1"/>
      </left>
      <right/>
      <top style="thin">
        <color theme="0" tint="-0.24994659260841701"/>
      </top>
      <bottom/>
      <diagonal/>
    </border>
    <border>
      <left/>
      <right style="thin">
        <color theme="0" tint="-0.34998626667073579"/>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diagonalUp="1" diagonalDown="1">
      <left style="thin">
        <color theme="0" tint="-0.24994659260841701"/>
      </left>
      <right style="thin">
        <color theme="0" tint="-0.24994659260841701"/>
      </right>
      <top style="thin">
        <color theme="0" tint="-0.24994659260841701"/>
      </top>
      <bottom style="thin">
        <color theme="0" tint="-0.24994659260841701"/>
      </bottom>
      <diagonal style="thin">
        <color theme="0" tint="-0.24994659260841701"/>
      </diagonal>
    </border>
    <border diagonalUp="1" diagonalDown="1">
      <left style="medium">
        <color indexed="64"/>
      </left>
      <right style="thin">
        <color theme="0" tint="-0.24994659260841701"/>
      </right>
      <top style="thin">
        <color theme="0" tint="-0.24994659260841701"/>
      </top>
      <bottom style="thin">
        <color theme="0" tint="-0.24994659260841701"/>
      </bottom>
      <diagonal style="thin">
        <color theme="0" tint="-0.24994659260841701"/>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right style="medium">
        <color auto="1"/>
      </right>
      <top style="thin">
        <color theme="0" tint="-0.24994659260841701"/>
      </top>
      <bottom style="thin">
        <color indexed="64"/>
      </bottom>
      <diagonal/>
    </border>
    <border>
      <left style="medium">
        <color indexed="64"/>
      </left>
      <right style="thin">
        <color theme="0" tint="-0.24994659260841701"/>
      </right>
      <top style="thin">
        <color indexed="64"/>
      </top>
      <bottom style="medium">
        <color auto="1"/>
      </bottom>
      <diagonal/>
    </border>
    <border>
      <left style="thin">
        <color theme="0" tint="-0.24994659260841701"/>
      </left>
      <right style="thin">
        <color theme="0" tint="-0.24994659260841701"/>
      </right>
      <top style="thin">
        <color indexed="64"/>
      </top>
      <bottom style="medium">
        <color auto="1"/>
      </bottom>
      <diagonal/>
    </border>
    <border>
      <left style="thin">
        <color theme="0" tint="-0.24994659260841701"/>
      </left>
      <right/>
      <top style="thin">
        <color indexed="64"/>
      </top>
      <bottom style="medium">
        <color auto="1"/>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34998626667073579"/>
      </right>
      <top style="thin">
        <color theme="0" tint="-0.24994659260841701"/>
      </top>
      <bottom style="thin">
        <color theme="0" tint="-0.34998626667073579"/>
      </bottom>
      <diagonal/>
    </border>
    <border>
      <left style="thin">
        <color auto="1"/>
      </left>
      <right style="thin">
        <color auto="1"/>
      </right>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24994659260841701"/>
      </top>
      <bottom style="medium">
        <color indexed="64"/>
      </bottom>
      <diagonal/>
    </border>
    <border>
      <left style="medium">
        <color auto="1"/>
      </left>
      <right style="medium">
        <color auto="1"/>
      </right>
      <top style="thin">
        <color theme="0" tint="-0.34998626667073579"/>
      </top>
      <bottom style="medium">
        <color auto="1"/>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11" fillId="0" borderId="0"/>
    <xf numFmtId="44" fontId="2" fillId="0" borderId="0" applyFont="0" applyFill="0" applyBorder="0" applyAlignment="0" applyProtection="0"/>
  </cellStyleXfs>
  <cellXfs count="2036">
    <xf numFmtId="0" fontId="0" fillId="0" borderId="0" xfId="0"/>
    <xf numFmtId="164" fontId="0" fillId="0" borderId="0" xfId="1" applyNumberFormat="1" applyFont="1"/>
    <xf numFmtId="0" fontId="0" fillId="0" borderId="0" xfId="0" applyFill="1"/>
    <xf numFmtId="0" fontId="0" fillId="0" borderId="0" xfId="0" applyBorder="1"/>
    <xf numFmtId="164" fontId="0" fillId="0" borderId="0" xfId="1" applyNumberFormat="1" applyFont="1" applyFill="1" applyBorder="1"/>
    <xf numFmtId="164" fontId="0" fillId="0" borderId="1" xfId="1" applyNumberFormat="1" applyFont="1" applyBorder="1"/>
    <xf numFmtId="0" fontId="0" fillId="0" borderId="0" xfId="0" applyFill="1" applyBorder="1"/>
    <xf numFmtId="164" fontId="0" fillId="0" borderId="1" xfId="1" applyNumberFormat="1" applyFont="1" applyFill="1" applyBorder="1"/>
    <xf numFmtId="0" fontId="0" fillId="0" borderId="0" xfId="0" applyFont="1"/>
    <xf numFmtId="0" fontId="0" fillId="0" borderId="1" xfId="0" applyFill="1" applyBorder="1"/>
    <xf numFmtId="0" fontId="0" fillId="0" borderId="1" xfId="0" applyBorder="1"/>
    <xf numFmtId="164" fontId="0" fillId="0" borderId="0" xfId="0" applyNumberFormat="1"/>
    <xf numFmtId="0" fontId="3" fillId="0" borderId="0" xfId="0" applyFont="1" applyBorder="1" applyAlignment="1">
      <alignment horizontal="right"/>
    </xf>
    <xf numFmtId="0" fontId="0" fillId="0" borderId="15" xfId="0" applyBorder="1"/>
    <xf numFmtId="164" fontId="0" fillId="0" borderId="0" xfId="0" applyNumberFormat="1" applyFill="1" applyBorder="1"/>
    <xf numFmtId="3" fontId="0" fillId="0" borderId="1" xfId="0" applyNumberFormat="1" applyBorder="1"/>
    <xf numFmtId="164" fontId="0" fillId="0" borderId="1" xfId="1" applyNumberFormat="1" applyFont="1" applyFill="1" applyBorder="1" applyAlignment="1"/>
    <xf numFmtId="0" fontId="0" fillId="0" borderId="1" xfId="0" applyBorder="1" applyAlignment="1">
      <alignment horizontal="center" wrapText="1"/>
    </xf>
    <xf numFmtId="0" fontId="0" fillId="0" borderId="8" xfId="0" applyBorder="1" applyAlignment="1">
      <alignment horizontal="center" wrapText="1"/>
    </xf>
    <xf numFmtId="0" fontId="0" fillId="0" borderId="1" xfId="0" applyBorder="1" applyAlignment="1">
      <alignment horizontal="center" vertical="center" wrapText="1"/>
    </xf>
    <xf numFmtId="0" fontId="0" fillId="0" borderId="11" xfId="0" applyBorder="1" applyAlignment="1">
      <alignment horizontal="center" wrapText="1"/>
    </xf>
    <xf numFmtId="0" fontId="0" fillId="0" borderId="1" xfId="0" applyFill="1" applyBorder="1" applyAlignment="1">
      <alignment horizontal="center" wrapText="1"/>
    </xf>
    <xf numFmtId="0" fontId="0" fillId="0" borderId="9" xfId="0" applyBorder="1" applyAlignment="1">
      <alignment horizontal="center" wrapText="1"/>
    </xf>
    <xf numFmtId="0" fontId="0" fillId="0" borderId="9" xfId="0" applyFill="1" applyBorder="1"/>
    <xf numFmtId="0" fontId="0" fillId="0" borderId="35" xfId="0" applyFill="1" applyBorder="1" applyAlignment="1">
      <alignment horizontal="right" vertical="center"/>
    </xf>
    <xf numFmtId="0" fontId="0" fillId="0" borderId="0" xfId="0" applyAlignment="1">
      <alignment horizontal="center" wrapText="1"/>
    </xf>
    <xf numFmtId="0" fontId="6" fillId="0" borderId="11" xfId="0" applyFont="1" applyBorder="1" applyAlignment="1">
      <alignment horizontal="center" wrapText="1"/>
    </xf>
    <xf numFmtId="164" fontId="0" fillId="0" borderId="9" xfId="1" applyNumberFormat="1" applyFont="1" applyFill="1" applyBorder="1"/>
    <xf numFmtId="164" fontId="0" fillId="0" borderId="40" xfId="1" applyNumberFormat="1" applyFont="1" applyFill="1" applyBorder="1" applyAlignment="1">
      <alignment vertical="center"/>
    </xf>
    <xf numFmtId="0" fontId="0" fillId="0" borderId="42" xfId="0" applyBorder="1" applyAlignment="1">
      <alignment horizontal="center" wrapText="1"/>
    </xf>
    <xf numFmtId="0" fontId="0" fillId="0" borderId="42" xfId="0" applyBorder="1" applyAlignment="1">
      <alignment horizontal="center"/>
    </xf>
    <xf numFmtId="0" fontId="0" fillId="0" borderId="43" xfId="0" applyBorder="1" applyAlignment="1">
      <alignment horizontal="center" wrapText="1"/>
    </xf>
    <xf numFmtId="0" fontId="0" fillId="0" borderId="0" xfId="0" applyFill="1" applyBorder="1" applyAlignment="1">
      <alignment horizontal="right" vertical="center"/>
    </xf>
    <xf numFmtId="0" fontId="0" fillId="0" borderId="0" xfId="0" applyFill="1" applyBorder="1" applyAlignment="1">
      <alignment vertical="center"/>
    </xf>
    <xf numFmtId="0" fontId="0" fillId="0" borderId="48" xfId="0" applyBorder="1" applyAlignment="1">
      <alignment horizontal="center" wrapText="1"/>
    </xf>
    <xf numFmtId="164" fontId="0" fillId="0" borderId="9" xfId="1" applyNumberFormat="1" applyFont="1" applyBorder="1"/>
    <xf numFmtId="0" fontId="0" fillId="0" borderId="50" xfId="0" applyBorder="1"/>
    <xf numFmtId="0" fontId="0" fillId="0" borderId="9" xfId="0" applyBorder="1" applyAlignment="1">
      <alignment horizontal="center" vertical="center" wrapText="1"/>
    </xf>
    <xf numFmtId="0" fontId="0" fillId="0" borderId="0" xfId="0" applyAlignment="1">
      <alignment vertical="center"/>
    </xf>
    <xf numFmtId="165" fontId="0" fillId="0" borderId="0" xfId="1" applyNumberFormat="1" applyFont="1"/>
    <xf numFmtId="164" fontId="0" fillId="0" borderId="1" xfId="1" applyNumberFormat="1" applyFont="1" applyFill="1" applyBorder="1" applyAlignment="1">
      <alignment vertical="center"/>
    </xf>
    <xf numFmtId="164" fontId="0" fillId="0" borderId="1" xfId="1" applyNumberFormat="1" applyFont="1" applyFill="1" applyBorder="1" applyAlignment="1">
      <alignment horizontal="right" vertical="center"/>
    </xf>
    <xf numFmtId="164" fontId="0" fillId="0" borderId="1" xfId="1" applyNumberFormat="1" applyFont="1" applyBorder="1" applyAlignment="1">
      <alignment vertical="center"/>
    </xf>
    <xf numFmtId="0" fontId="0" fillId="0" borderId="9" xfId="0" applyBorder="1"/>
    <xf numFmtId="0" fontId="0" fillId="4" borderId="0" xfId="0" applyFill="1"/>
    <xf numFmtId="0" fontId="13" fillId="4" borderId="0" xfId="0" applyFont="1" applyFill="1" applyBorder="1" applyAlignment="1">
      <alignment horizontal="center"/>
    </xf>
    <xf numFmtId="0" fontId="0" fillId="4" borderId="0" xfId="0" applyFill="1" applyBorder="1"/>
    <xf numFmtId="0" fontId="0" fillId="4" borderId="0" xfId="0" applyFill="1" applyBorder="1" applyAlignment="1">
      <alignment horizontal="center" vertical="center" wrapText="1"/>
    </xf>
    <xf numFmtId="164" fontId="0" fillId="4" borderId="0" xfId="1" applyNumberFormat="1" applyFont="1" applyFill="1" applyBorder="1"/>
    <xf numFmtId="164" fontId="0" fillId="4" borderId="0" xfId="1" applyNumberFormat="1" applyFont="1" applyFill="1" applyBorder="1" applyAlignment="1">
      <alignment vertical="center"/>
    </xf>
    <xf numFmtId="0" fontId="0" fillId="4" borderId="0" xfId="0" applyFill="1" applyAlignment="1">
      <alignment vertical="center"/>
    </xf>
    <xf numFmtId="0" fontId="0" fillId="4" borderId="0" xfId="0" applyFill="1" applyAlignment="1">
      <alignment wrapText="1"/>
    </xf>
    <xf numFmtId="164" fontId="0" fillId="4" borderId="0" xfId="0" applyNumberFormat="1" applyFill="1"/>
    <xf numFmtId="164" fontId="0" fillId="4" borderId="0" xfId="1" applyNumberFormat="1" applyFont="1" applyFill="1"/>
    <xf numFmtId="165" fontId="0" fillId="4" borderId="0" xfId="1" applyNumberFormat="1" applyFont="1" applyFill="1"/>
    <xf numFmtId="0" fontId="17" fillId="0" borderId="0" xfId="0" applyFont="1" applyAlignment="1">
      <alignment horizontal="center"/>
    </xf>
    <xf numFmtId="164" fontId="0" fillId="0" borderId="29" xfId="1" applyNumberFormat="1" applyFont="1" applyFill="1" applyBorder="1"/>
    <xf numFmtId="164" fontId="0" fillId="0" borderId="7" xfId="1" applyNumberFormat="1" applyFont="1" applyBorder="1"/>
    <xf numFmtId="3" fontId="0" fillId="0" borderId="0" xfId="0" applyNumberFormat="1"/>
    <xf numFmtId="0" fontId="0" fillId="0" borderId="11" xfId="0" applyBorder="1" applyAlignment="1">
      <alignment horizontal="right"/>
    </xf>
    <xf numFmtId="0" fontId="0" fillId="0" borderId="0" xfId="0" applyFill="1" applyBorder="1" applyAlignment="1">
      <alignment horizontal="right"/>
    </xf>
    <xf numFmtId="37" fontId="3" fillId="0" borderId="0" xfId="1" applyNumberFormat="1" applyFont="1" applyBorder="1"/>
    <xf numFmtId="0" fontId="0" fillId="0" borderId="0" xfId="0" applyAlignment="1"/>
    <xf numFmtId="0" fontId="3" fillId="0" borderId="1" xfId="0" applyFont="1" applyBorder="1" applyAlignment="1">
      <alignment horizontal="center"/>
    </xf>
    <xf numFmtId="0" fontId="0" fillId="0" borderId="30" xfId="0" applyBorder="1"/>
    <xf numFmtId="43" fontId="0" fillId="0" borderId="0" xfId="0" applyNumberFormat="1"/>
    <xf numFmtId="0" fontId="20" fillId="0" borderId="0" xfId="0" applyFont="1" applyAlignment="1">
      <alignment horizontal="center" vertical="center"/>
    </xf>
    <xf numFmtId="10" fontId="0" fillId="0" borderId="0" xfId="2" applyNumberFormat="1" applyFont="1"/>
    <xf numFmtId="0" fontId="0" fillId="0" borderId="0" xfId="0"/>
    <xf numFmtId="0" fontId="0" fillId="0" borderId="0" xfId="0" applyAlignment="1">
      <alignment wrapText="1"/>
    </xf>
    <xf numFmtId="0" fontId="0" fillId="0" borderId="0" xfId="0"/>
    <xf numFmtId="0" fontId="5" fillId="0" borderId="0" xfId="0" applyFont="1" applyBorder="1" applyAlignment="1">
      <alignment vertical="center"/>
    </xf>
    <xf numFmtId="0" fontId="0" fillId="0" borderId="0" xfId="0" applyBorder="1" applyAlignment="1">
      <alignment horizontal="center" vertical="center" wrapText="1"/>
    </xf>
    <xf numFmtId="0" fontId="0" fillId="0" borderId="7" xfId="0" applyFill="1" applyBorder="1" applyAlignment="1">
      <alignment horizontal="center" wrapText="1"/>
    </xf>
    <xf numFmtId="0" fontId="0" fillId="0" borderId="64" xfId="0" applyFill="1" applyBorder="1" applyAlignment="1">
      <alignment vertical="center"/>
    </xf>
    <xf numFmtId="0" fontId="0" fillId="0" borderId="63" xfId="0" applyFill="1" applyBorder="1" applyAlignment="1">
      <alignment horizontal="center" wrapText="1"/>
    </xf>
    <xf numFmtId="164" fontId="0" fillId="0" borderId="65" xfId="1" applyNumberFormat="1" applyFont="1" applyFill="1" applyBorder="1" applyAlignment="1">
      <alignment vertical="center"/>
    </xf>
    <xf numFmtId="0" fontId="0" fillId="0" borderId="0" xfId="0"/>
    <xf numFmtId="0" fontId="0" fillId="0" borderId="0" xfId="0"/>
    <xf numFmtId="164" fontId="0" fillId="0" borderId="0" xfId="1" applyNumberFormat="1" applyFont="1" applyFill="1" applyBorder="1" applyAlignment="1">
      <alignment vertical="center"/>
    </xf>
    <xf numFmtId="164" fontId="0" fillId="6" borderId="66" xfId="1" applyNumberFormat="1" applyFont="1" applyFill="1" applyBorder="1" applyAlignment="1">
      <alignment vertical="center"/>
    </xf>
    <xf numFmtId="164" fontId="0" fillId="6" borderId="9" xfId="1" applyNumberFormat="1" applyFont="1" applyFill="1" applyBorder="1" applyAlignment="1">
      <alignment vertical="center"/>
    </xf>
    <xf numFmtId="0" fontId="13" fillId="0" borderId="0" xfId="0" applyFont="1" applyFill="1" applyBorder="1" applyAlignment="1">
      <alignment vertical="center"/>
    </xf>
    <xf numFmtId="0" fontId="0" fillId="0" borderId="0" xfId="0" applyBorder="1" applyAlignment="1"/>
    <xf numFmtId="0" fontId="3" fillId="0" borderId="1" xfId="0" applyFont="1" applyBorder="1" applyAlignment="1">
      <alignment horizontal="center" wrapText="1"/>
    </xf>
    <xf numFmtId="0" fontId="0" fillId="0" borderId="0" xfId="0"/>
    <xf numFmtId="0" fontId="0" fillId="0" borderId="0" xfId="0"/>
    <xf numFmtId="0" fontId="0" fillId="0" borderId="0" xfId="0"/>
    <xf numFmtId="0" fontId="0" fillId="0" borderId="32" xfId="0" applyBorder="1" applyAlignment="1">
      <alignment horizontal="right"/>
    </xf>
    <xf numFmtId="0" fontId="0" fillId="0" borderId="33" xfId="0" applyBorder="1"/>
    <xf numFmtId="0" fontId="0" fillId="0" borderId="11" xfId="0" applyBorder="1"/>
    <xf numFmtId="0" fontId="3" fillId="0" borderId="9" xfId="0" applyFont="1" applyBorder="1" applyAlignment="1">
      <alignment horizontal="center"/>
    </xf>
    <xf numFmtId="0" fontId="0" fillId="0" borderId="11" xfId="0" applyFill="1" applyBorder="1" applyAlignment="1"/>
    <xf numFmtId="0" fontId="0" fillId="0" borderId="11" xfId="0" applyBorder="1" applyAlignment="1"/>
    <xf numFmtId="164" fontId="0" fillId="0" borderId="9" xfId="0" applyNumberFormat="1" applyBorder="1"/>
    <xf numFmtId="0" fontId="0" fillId="5" borderId="11" xfId="0" applyFill="1" applyBorder="1" applyAlignment="1">
      <alignment horizontal="right"/>
    </xf>
    <xf numFmtId="0" fontId="0" fillId="5" borderId="1" xfId="0" applyFill="1" applyBorder="1"/>
    <xf numFmtId="164" fontId="0" fillId="5" borderId="9" xfId="0" applyNumberFormat="1" applyFill="1" applyBorder="1"/>
    <xf numFmtId="164" fontId="0" fillId="5" borderId="9" xfId="1" applyNumberFormat="1" applyFont="1" applyFill="1" applyBorder="1"/>
    <xf numFmtId="164" fontId="0" fillId="5" borderId="1" xfId="0" applyNumberFormat="1" applyFill="1" applyBorder="1"/>
    <xf numFmtId="10" fontId="0" fillId="0" borderId="30" xfId="2" applyNumberFormat="1" applyFont="1" applyFill="1" applyBorder="1"/>
    <xf numFmtId="10" fontId="0" fillId="0" borderId="1" xfId="2" applyNumberFormat="1" applyFont="1" applyFill="1" applyBorder="1"/>
    <xf numFmtId="0" fontId="0" fillId="5" borderId="34" xfId="0" applyFill="1" applyBorder="1"/>
    <xf numFmtId="0" fontId="0" fillId="5" borderId="35" xfId="0" applyFill="1" applyBorder="1"/>
    <xf numFmtId="0" fontId="0" fillId="5" borderId="35" xfId="0" applyFill="1" applyBorder="1" applyAlignment="1">
      <alignment horizontal="right"/>
    </xf>
    <xf numFmtId="164" fontId="0" fillId="5" borderId="36" xfId="0" applyNumberFormat="1" applyFill="1" applyBorder="1"/>
    <xf numFmtId="0" fontId="0" fillId="0" borderId="0" xfId="0"/>
    <xf numFmtId="0" fontId="0" fillId="0" borderId="0" xfId="0" applyAlignment="1">
      <alignment wrapText="1"/>
    </xf>
    <xf numFmtId="0" fontId="0" fillId="0" borderId="0" xfId="0"/>
    <xf numFmtId="0" fontId="13" fillId="0" borderId="0" xfId="0" applyFont="1" applyFill="1" applyBorder="1" applyAlignment="1">
      <alignment horizontal="left" vertical="center"/>
    </xf>
    <xf numFmtId="0" fontId="5" fillId="0" borderId="11" xfId="0" applyFont="1" applyBorder="1" applyAlignment="1">
      <alignment horizontal="left" wrapText="1"/>
    </xf>
    <xf numFmtId="0" fontId="13" fillId="0" borderId="0" xfId="0" applyFont="1" applyFill="1" applyBorder="1" applyAlignment="1">
      <alignment horizontal="center"/>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0" fillId="0" borderId="1" xfId="0" applyFont="1" applyFill="1" applyBorder="1" applyAlignment="1">
      <alignment horizontal="center" wrapText="1"/>
    </xf>
    <xf numFmtId="0" fontId="0" fillId="0" borderId="9" xfId="0" applyFont="1" applyFill="1" applyBorder="1" applyAlignment="1">
      <alignment horizontal="center" wrapText="1"/>
    </xf>
    <xf numFmtId="0" fontId="3" fillId="0" borderId="0" xfId="0" applyFont="1" applyFill="1" applyBorder="1" applyAlignment="1">
      <alignment horizontal="right" wrapText="1"/>
    </xf>
    <xf numFmtId="0" fontId="13" fillId="0" borderId="14" xfId="0" applyFont="1" applyFill="1" applyBorder="1" applyAlignment="1">
      <alignment horizontal="center"/>
    </xf>
    <xf numFmtId="0" fontId="0" fillId="0" borderId="14" xfId="0" applyBorder="1" applyAlignment="1">
      <alignment horizontal="center" vertical="center" wrapText="1"/>
    </xf>
    <xf numFmtId="164" fontId="0" fillId="0" borderId="14" xfId="1" applyNumberFormat="1" applyFont="1" applyFill="1" applyBorder="1"/>
    <xf numFmtId="164" fontId="0" fillId="0" borderId="14" xfId="1" applyNumberFormat="1" applyFont="1" applyFill="1" applyBorder="1" applyAlignment="1">
      <alignment vertical="center"/>
    </xf>
    <xf numFmtId="0" fontId="0" fillId="0" borderId="0" xfId="0"/>
    <xf numFmtId="10" fontId="0" fillId="7" borderId="1" xfId="2" applyNumberFormat="1" applyFont="1" applyFill="1" applyBorder="1"/>
    <xf numFmtId="164" fontId="0" fillId="7" borderId="1" xfId="1" applyNumberFormat="1" applyFont="1" applyFill="1" applyBorder="1"/>
    <xf numFmtId="164" fontId="0" fillId="7" borderId="9" xfId="1" applyNumberFormat="1" applyFont="1" applyFill="1" applyBorder="1"/>
    <xf numFmtId="165" fontId="0" fillId="7" borderId="1" xfId="1" applyNumberFormat="1" applyFont="1" applyFill="1" applyBorder="1"/>
    <xf numFmtId="43" fontId="0" fillId="7" borderId="1" xfId="1" applyFont="1" applyFill="1" applyBorder="1"/>
    <xf numFmtId="0" fontId="0" fillId="7" borderId="11" xfId="0" applyFill="1" applyBorder="1" applyAlignment="1"/>
    <xf numFmtId="0" fontId="0" fillId="7" borderId="1" xfId="0" applyFill="1" applyBorder="1" applyAlignment="1"/>
    <xf numFmtId="2" fontId="0" fillId="7" borderId="1" xfId="0" applyNumberFormat="1" applyFill="1" applyBorder="1"/>
    <xf numFmtId="49" fontId="0" fillId="7" borderId="1" xfId="0" applyNumberFormat="1" applyFill="1" applyBorder="1"/>
    <xf numFmtId="0" fontId="0" fillId="7" borderId="11" xfId="0" applyFill="1" applyBorder="1" applyAlignment="1">
      <alignment horizontal="left"/>
    </xf>
    <xf numFmtId="0" fontId="0" fillId="7" borderId="9" xfId="0" applyFill="1" applyBorder="1"/>
    <xf numFmtId="164" fontId="0" fillId="7" borderId="2" xfId="1" applyNumberFormat="1" applyFont="1" applyFill="1" applyBorder="1"/>
    <xf numFmtId="0" fontId="0" fillId="0" borderId="0" xfId="0"/>
    <xf numFmtId="0" fontId="0" fillId="0" borderId="0" xfId="0"/>
    <xf numFmtId="0" fontId="0" fillId="0" borderId="0" xfId="0"/>
    <xf numFmtId="0" fontId="0" fillId="0" borderId="0" xfId="0" applyAlignment="1">
      <alignment horizontal="right"/>
    </xf>
    <xf numFmtId="0" fontId="0" fillId="0" borderId="0" xfId="0" applyBorder="1" applyAlignment="1">
      <alignment horizontal="left" vertical="center" wrapText="1"/>
    </xf>
    <xf numFmtId="0" fontId="0" fillId="0" borderId="0" xfId="0"/>
    <xf numFmtId="164" fontId="0" fillId="7" borderId="1" xfId="1" applyNumberFormat="1" applyFont="1" applyFill="1" applyBorder="1" applyAlignment="1"/>
    <xf numFmtId="0" fontId="5" fillId="0" borderId="41" xfId="0" applyFont="1" applyBorder="1" applyAlignment="1">
      <alignment horizontal="left"/>
    </xf>
    <xf numFmtId="0" fontId="0" fillId="0" borderId="0" xfId="0"/>
    <xf numFmtId="0" fontId="0" fillId="0" borderId="27" xfId="0" applyFill="1" applyBorder="1" applyAlignment="1">
      <alignment horizontal="right" vertical="center"/>
    </xf>
    <xf numFmtId="0" fontId="0" fillId="0" borderId="27" xfId="0" applyFill="1" applyBorder="1" applyAlignment="1">
      <alignment vertical="center"/>
    </xf>
    <xf numFmtId="0" fontId="0" fillId="0" borderId="61" xfId="0" applyFill="1" applyBorder="1" applyAlignment="1">
      <alignment horizontal="center" wrapText="1"/>
    </xf>
    <xf numFmtId="0" fontId="0" fillId="0" borderId="0" xfId="0" applyBorder="1" applyAlignment="1">
      <alignment horizontal="left" vertical="center"/>
    </xf>
    <xf numFmtId="164" fontId="0" fillId="7" borderId="11" xfId="1" applyNumberFormat="1" applyFont="1" applyFill="1" applyBorder="1"/>
    <xf numFmtId="0" fontId="5" fillId="0" borderId="41" xfId="0" applyFont="1" applyBorder="1" applyAlignment="1">
      <alignment horizontal="left"/>
    </xf>
    <xf numFmtId="0" fontId="0" fillId="0" borderId="35" xfId="0" applyFill="1" applyBorder="1" applyAlignment="1">
      <alignment horizontal="right" vertical="center"/>
    </xf>
    <xf numFmtId="0" fontId="0" fillId="0" borderId="1" xfId="0" applyFill="1" applyBorder="1" applyAlignment="1">
      <alignment horizontal="center" wrapText="1"/>
    </xf>
    <xf numFmtId="0" fontId="0" fillId="0" borderId="0" xfId="0" applyAlignment="1">
      <alignment wrapText="1"/>
    </xf>
    <xf numFmtId="0" fontId="0" fillId="0" borderId="0" xfId="0"/>
    <xf numFmtId="0" fontId="5" fillId="0" borderId="11" xfId="0" applyFont="1" applyBorder="1" applyAlignment="1">
      <alignment horizontal="center" vertical="center"/>
    </xf>
    <xf numFmtId="43" fontId="0" fillId="0" borderId="9" xfId="1" applyFont="1" applyFill="1" applyBorder="1"/>
    <xf numFmtId="164" fontId="0" fillId="0" borderId="35" xfId="1" applyNumberFormat="1" applyFont="1" applyFill="1" applyBorder="1" applyAlignment="1">
      <alignment horizontal="right" vertical="center"/>
    </xf>
    <xf numFmtId="0" fontId="13" fillId="0" borderId="49"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164" fontId="0" fillId="4" borderId="1" xfId="1" applyNumberFormat="1" applyFont="1" applyFill="1" applyBorder="1"/>
    <xf numFmtId="164" fontId="3" fillId="3" borderId="1" xfId="1" applyNumberFormat="1" applyFont="1" applyFill="1" applyBorder="1"/>
    <xf numFmtId="164" fontId="3" fillId="3" borderId="1" xfId="1" applyNumberFormat="1" applyFont="1" applyFill="1" applyBorder="1" applyAlignment="1">
      <alignment vertical="center"/>
    </xf>
    <xf numFmtId="164" fontId="3" fillId="3" borderId="1" xfId="0" applyNumberFormat="1" applyFont="1" applyFill="1" applyBorder="1" applyAlignment="1">
      <alignment horizontal="right" vertical="center"/>
    </xf>
    <xf numFmtId="0" fontId="0" fillId="0" borderId="31" xfId="0" applyFill="1" applyBorder="1"/>
    <xf numFmtId="0" fontId="0" fillId="0" borderId="62" xfId="0" applyFill="1" applyBorder="1"/>
    <xf numFmtId="0" fontId="0" fillId="0" borderId="62" xfId="0" applyFill="1" applyBorder="1" applyAlignment="1">
      <alignment vertical="center"/>
    </xf>
    <xf numFmtId="0" fontId="17" fillId="0" borderId="62" xfId="0" applyFont="1" applyFill="1" applyBorder="1" applyAlignment="1">
      <alignment horizontal="center" wrapText="1"/>
    </xf>
    <xf numFmtId="0" fontId="0" fillId="0" borderId="62" xfId="0" applyFill="1" applyBorder="1" applyAlignment="1">
      <alignment horizontal="right" vertical="center"/>
    </xf>
    <xf numFmtId="0" fontId="0" fillId="0" borderId="1" xfId="0" applyFill="1" applyBorder="1"/>
    <xf numFmtId="0" fontId="0" fillId="0" borderId="9" xfId="0" applyFill="1" applyBorder="1" applyAlignment="1">
      <alignment horizontal="center"/>
    </xf>
    <xf numFmtId="0" fontId="0" fillId="7" borderId="69" xfId="0" applyFill="1" applyBorder="1" applyAlignment="1">
      <alignment horizontal="center"/>
    </xf>
    <xf numFmtId="0" fontId="0" fillId="0" borderId="0" xfId="0" applyBorder="1"/>
    <xf numFmtId="0" fontId="0" fillId="0" borderId="1" xfId="0" applyBorder="1" applyAlignment="1">
      <alignment horizontal="center" vertical="center" wrapText="1"/>
    </xf>
    <xf numFmtId="0" fontId="0" fillId="0" borderId="0" xfId="0"/>
    <xf numFmtId="164" fontId="0" fillId="7" borderId="9" xfId="1" applyNumberFormat="1" applyFont="1" applyFill="1" applyBorder="1" applyAlignment="1">
      <alignment vertical="center"/>
    </xf>
    <xf numFmtId="164" fontId="0" fillId="7" borderId="11" xfId="1" applyNumberFormat="1" applyFont="1" applyFill="1" applyBorder="1" applyAlignment="1">
      <alignment horizontal="center" wrapText="1"/>
    </xf>
    <xf numFmtId="164" fontId="0" fillId="7" borderId="1" xfId="1" applyNumberFormat="1" applyFont="1" applyFill="1" applyBorder="1" applyAlignment="1">
      <alignment horizontal="center" wrapText="1"/>
    </xf>
    <xf numFmtId="164" fontId="0" fillId="0" borderId="1" xfId="1" applyNumberFormat="1" applyFont="1" applyFill="1" applyBorder="1" applyAlignment="1">
      <alignment horizontal="center" wrapText="1"/>
    </xf>
    <xf numFmtId="164" fontId="0" fillId="0" borderId="9" xfId="1" applyNumberFormat="1" applyFont="1" applyFill="1" applyBorder="1" applyAlignment="1">
      <alignment horizontal="center" wrapText="1"/>
    </xf>
    <xf numFmtId="164" fontId="0" fillId="7" borderId="39" xfId="1" applyNumberFormat="1" applyFont="1" applyFill="1" applyBorder="1" applyAlignment="1">
      <alignment horizontal="center" wrapText="1"/>
    </xf>
    <xf numFmtId="164" fontId="0" fillId="7" borderId="7" xfId="1" applyNumberFormat="1" applyFont="1" applyFill="1" applyBorder="1" applyAlignment="1">
      <alignment horizontal="center" wrapText="1"/>
    </xf>
    <xf numFmtId="0" fontId="0" fillId="0" borderId="0" xfId="0" applyBorder="1"/>
    <xf numFmtId="0" fontId="0" fillId="0" borderId="0" xfId="0"/>
    <xf numFmtId="166" fontId="0" fillId="0" borderId="0" xfId="2" applyNumberFormat="1" applyFont="1"/>
    <xf numFmtId="166" fontId="0" fillId="0" borderId="0" xfId="0" applyNumberFormat="1"/>
    <xf numFmtId="10" fontId="0" fillId="0" borderId="0" xfId="0" applyNumberFormat="1" applyBorder="1" applyAlignment="1">
      <alignment horizontal="right"/>
    </xf>
    <xf numFmtId="164" fontId="0" fillId="0" borderId="1" xfId="0" applyNumberFormat="1" applyFill="1" applyBorder="1"/>
    <xf numFmtId="0" fontId="0" fillId="7" borderId="49" xfId="0" applyFill="1" applyBorder="1"/>
    <xf numFmtId="0" fontId="0" fillId="7" borderId="58" xfId="0" applyFill="1" applyBorder="1"/>
    <xf numFmtId="0" fontId="0" fillId="7" borderId="11" xfId="0" applyFill="1" applyBorder="1"/>
    <xf numFmtId="0" fontId="0" fillId="7" borderId="1" xfId="0" applyFill="1" applyBorder="1"/>
    <xf numFmtId="0" fontId="0" fillId="0" borderId="1" xfId="0" applyBorder="1" applyAlignment="1">
      <alignment horizontal="center" vertical="center" wrapText="1"/>
    </xf>
    <xf numFmtId="0" fontId="5" fillId="0" borderId="41" xfId="0" applyFont="1" applyBorder="1" applyAlignment="1">
      <alignment horizontal="left"/>
    </xf>
    <xf numFmtId="0" fontId="0" fillId="0" borderId="0" xfId="0" applyBorder="1"/>
    <xf numFmtId="0" fontId="0" fillId="0" borderId="0" xfId="0" applyAlignment="1">
      <alignment wrapText="1"/>
    </xf>
    <xf numFmtId="0" fontId="0" fillId="0" borderId="0" xfId="0"/>
    <xf numFmtId="0" fontId="13" fillId="0" borderId="74" xfId="0" applyFont="1" applyBorder="1" applyAlignment="1">
      <alignment horizontal="center"/>
    </xf>
    <xf numFmtId="0" fontId="8" fillId="0" borderId="74" xfId="0" applyFont="1" applyBorder="1" applyAlignment="1">
      <alignment horizontal="center"/>
    </xf>
    <xf numFmtId="0" fontId="8" fillId="0" borderId="73" xfId="0" applyFont="1" applyBorder="1" applyAlignment="1">
      <alignment horizontal="right"/>
    </xf>
    <xf numFmtId="3" fontId="0" fillId="5" borderId="1" xfId="0" applyNumberFormat="1" applyFill="1" applyBorder="1"/>
    <xf numFmtId="0" fontId="0" fillId="0" borderId="0" xfId="0"/>
    <xf numFmtId="10" fontId="0" fillId="0" borderId="40" xfId="2" applyNumberFormat="1" applyFont="1" applyBorder="1"/>
    <xf numFmtId="10" fontId="0" fillId="0" borderId="0" xfId="0" applyNumberFormat="1"/>
    <xf numFmtId="0" fontId="0" fillId="0" borderId="0" xfId="0" applyBorder="1"/>
    <xf numFmtId="0" fontId="0" fillId="0" borderId="0" xfId="0"/>
    <xf numFmtId="0" fontId="3" fillId="0" borderId="0" xfId="0" applyFont="1" applyBorder="1" applyAlignment="1">
      <alignment horizontal="center"/>
    </xf>
    <xf numFmtId="0" fontId="13" fillId="0" borderId="75" xfId="0" applyFont="1" applyBorder="1" applyAlignment="1">
      <alignment horizontal="center"/>
    </xf>
    <xf numFmtId="0" fontId="8" fillId="0" borderId="0" xfId="0" applyFont="1"/>
    <xf numFmtId="0" fontId="0" fillId="9" borderId="1" xfId="0" applyFill="1" applyBorder="1" applyAlignment="1">
      <alignment horizontal="center"/>
    </xf>
    <xf numFmtId="2" fontId="0" fillId="8" borderId="1" xfId="0" applyNumberFormat="1" applyFill="1" applyBorder="1" applyAlignment="1">
      <alignment horizontal="center"/>
    </xf>
    <xf numFmtId="49" fontId="8" fillId="0" borderId="0" xfId="0" applyNumberFormat="1" applyFont="1"/>
    <xf numFmtId="0" fontId="8" fillId="0" borderId="0" xfId="0" applyFont="1" applyBorder="1"/>
    <xf numFmtId="0" fontId="0" fillId="0" borderId="1" xfId="0" applyBorder="1" applyAlignment="1">
      <alignment horizontal="center" wrapText="1"/>
    </xf>
    <xf numFmtId="0" fontId="0" fillId="0" borderId="9" xfId="0" applyBorder="1" applyAlignment="1">
      <alignment horizontal="center" wrapText="1"/>
    </xf>
    <xf numFmtId="0" fontId="0" fillId="7" borderId="49" xfId="0" applyFill="1" applyBorder="1" applyAlignment="1">
      <alignment horizontal="right"/>
    </xf>
    <xf numFmtId="0" fontId="0" fillId="7" borderId="3" xfId="0" applyFill="1" applyBorder="1" applyAlignment="1">
      <alignment horizontal="right"/>
    </xf>
    <xf numFmtId="0" fontId="0" fillId="7" borderId="4" xfId="0" applyFill="1" applyBorder="1" applyAlignment="1">
      <alignment horizontal="right"/>
    </xf>
    <xf numFmtId="164" fontId="0" fillId="0" borderId="11" xfId="1" applyNumberFormat="1" applyFont="1" applyFill="1" applyBorder="1"/>
    <xf numFmtId="0" fontId="0" fillId="5" borderId="49" xfId="0" applyFill="1" applyBorder="1" applyAlignment="1">
      <alignment horizontal="right"/>
    </xf>
    <xf numFmtId="0" fontId="0" fillId="5" borderId="3" xfId="0" applyFill="1" applyBorder="1" applyAlignment="1">
      <alignment horizontal="right"/>
    </xf>
    <xf numFmtId="0" fontId="0" fillId="5" borderId="4" xfId="0" applyFill="1" applyBorder="1" applyAlignment="1">
      <alignment horizontal="right"/>
    </xf>
    <xf numFmtId="164" fontId="0" fillId="5" borderId="1" xfId="1" applyNumberFormat="1" applyFont="1" applyFill="1" applyBorder="1"/>
    <xf numFmtId="164" fontId="0" fillId="5" borderId="11" xfId="1" applyNumberFormat="1" applyFont="1" applyFill="1" applyBorder="1"/>
    <xf numFmtId="164" fontId="0" fillId="5" borderId="1" xfId="1" applyNumberFormat="1" applyFont="1" applyFill="1" applyBorder="1" applyAlignment="1">
      <alignment vertical="center"/>
    </xf>
    <xf numFmtId="164" fontId="0" fillId="5" borderId="9" xfId="1" applyNumberFormat="1" applyFont="1" applyFill="1" applyBorder="1" applyAlignment="1">
      <alignment vertical="center"/>
    </xf>
    <xf numFmtId="164" fontId="0" fillId="5" borderId="11" xfId="1" applyNumberFormat="1" applyFont="1" applyFill="1" applyBorder="1" applyAlignment="1">
      <alignment vertical="center"/>
    </xf>
    <xf numFmtId="0" fontId="5" fillId="0" borderId="73" xfId="0" applyFont="1" applyBorder="1" applyAlignment="1">
      <alignment horizontal="right" vertical="center"/>
    </xf>
    <xf numFmtId="0" fontId="5" fillId="0" borderId="74" xfId="0" applyFont="1" applyBorder="1" applyAlignment="1">
      <alignment horizontal="center" vertical="center"/>
    </xf>
    <xf numFmtId="0" fontId="3" fillId="0" borderId="13" xfId="0" applyFont="1" applyFill="1" applyBorder="1" applyAlignment="1">
      <alignment horizontal="right" wrapText="1"/>
    </xf>
    <xf numFmtId="0" fontId="0" fillId="0" borderId="13" xfId="0" applyFont="1" applyFill="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7" borderId="1" xfId="0" applyFill="1" applyBorder="1" applyAlignment="1">
      <alignment horizontal="center"/>
    </xf>
    <xf numFmtId="0" fontId="0" fillId="7" borderId="9" xfId="0" applyFill="1" applyBorder="1" applyAlignment="1">
      <alignment horizontal="center"/>
    </xf>
    <xf numFmtId="0" fontId="0" fillId="7" borderId="35" xfId="0" applyFill="1" applyBorder="1" applyAlignment="1">
      <alignment horizontal="center"/>
    </xf>
    <xf numFmtId="0" fontId="0" fillId="7" borderId="36" xfId="0" applyFill="1" applyBorder="1" applyAlignment="1">
      <alignment horizontal="center"/>
    </xf>
    <xf numFmtId="164" fontId="0" fillId="0" borderId="9" xfId="1" applyNumberFormat="1" applyFont="1" applyFill="1" applyBorder="1" applyAlignment="1">
      <alignment horizontal="center"/>
    </xf>
    <xf numFmtId="0" fontId="17" fillId="0" borderId="0" xfId="0" applyFont="1" applyAlignment="1">
      <alignment horizontal="center" vertical="center"/>
    </xf>
    <xf numFmtId="0" fontId="0" fillId="0" borderId="1" xfId="0" applyBorder="1" applyAlignment="1">
      <alignment horizontal="right"/>
    </xf>
    <xf numFmtId="38" fontId="0" fillId="0" borderId="0" xfId="1" applyNumberFormat="1" applyFont="1" applyFill="1" applyBorder="1"/>
    <xf numFmtId="38" fontId="3" fillId="0" borderId="0" xfId="1" applyNumberFormat="1" applyFont="1" applyFill="1" applyBorder="1"/>
    <xf numFmtId="38" fontId="0" fillId="0" borderId="0" xfId="1" applyNumberFormat="1" applyFont="1" applyFill="1" applyBorder="1" applyAlignment="1"/>
    <xf numFmtId="0" fontId="3" fillId="0" borderId="0" xfId="0" applyFont="1" applyAlignment="1">
      <alignment horizontal="right"/>
    </xf>
    <xf numFmtId="37" fontId="0" fillId="0" borderId="0" xfId="1" applyNumberFormat="1" applyFont="1" applyFill="1" applyBorder="1" applyAlignment="1"/>
    <xf numFmtId="164" fontId="0" fillId="0" borderId="0" xfId="1" applyNumberFormat="1" applyFont="1" applyFill="1" applyBorder="1" applyAlignment="1"/>
    <xf numFmtId="0" fontId="0" fillId="0" borderId="28" xfId="0" applyBorder="1"/>
    <xf numFmtId="0" fontId="0" fillId="0" borderId="11" xfId="2" applyNumberFormat="1" applyFont="1" applyBorder="1" applyAlignment="1">
      <alignment horizontal="center" wrapText="1"/>
    </xf>
    <xf numFmtId="10" fontId="0" fillId="0" borderId="11" xfId="2" applyNumberFormat="1" applyFont="1" applyBorder="1"/>
    <xf numFmtId="0" fontId="0" fillId="0" borderId="14" xfId="2" applyNumberFormat="1" applyFont="1" applyBorder="1" applyAlignment="1">
      <alignment horizontal="center" wrapText="1"/>
    </xf>
    <xf numFmtId="0" fontId="0" fillId="0" borderId="1" xfId="2" applyNumberFormat="1" applyFont="1" applyBorder="1" applyAlignment="1">
      <alignment horizontal="center" wrapText="1"/>
    </xf>
    <xf numFmtId="10" fontId="0" fillId="0" borderId="1" xfId="2" applyNumberFormat="1" applyFont="1" applyBorder="1"/>
    <xf numFmtId="0" fontId="0" fillId="0" borderId="1" xfId="0" applyBorder="1" applyAlignment="1">
      <alignment horizontal="center"/>
    </xf>
    <xf numFmtId="164" fontId="0" fillId="0" borderId="1" xfId="0" applyNumberFormat="1" applyBorder="1"/>
    <xf numFmtId="0" fontId="0" fillId="0" borderId="32" xfId="0" applyBorder="1"/>
    <xf numFmtId="0" fontId="0" fillId="0" borderId="34" xfId="0" applyBorder="1" applyAlignment="1">
      <alignment horizontal="right"/>
    </xf>
    <xf numFmtId="0" fontId="0" fillId="0" borderId="1" xfId="0" applyBorder="1"/>
    <xf numFmtId="0" fontId="0" fillId="0" borderId="62" xfId="0" applyBorder="1"/>
    <xf numFmtId="38" fontId="0" fillId="0" borderId="1" xfId="1" applyNumberFormat="1" applyFont="1" applyBorder="1" applyAlignment="1">
      <alignment horizontal="center"/>
    </xf>
    <xf numFmtId="0" fontId="0" fillId="0" borderId="78" xfId="0" applyBorder="1"/>
    <xf numFmtId="0" fontId="3" fillId="0" borderId="1"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2" xfId="0" applyBorder="1" applyAlignment="1">
      <alignment horizontal="center"/>
    </xf>
    <xf numFmtId="0" fontId="8" fillId="0" borderId="0" xfId="0" applyFont="1" applyAlignment="1">
      <alignment vertical="center"/>
    </xf>
    <xf numFmtId="10" fontId="0" fillId="0" borderId="40" xfId="2" applyNumberFormat="1" applyFont="1" applyBorder="1" applyAlignment="1">
      <alignment horizontal="right"/>
    </xf>
    <xf numFmtId="0" fontId="0" fillId="0" borderId="37" xfId="0" applyFill="1" applyBorder="1"/>
    <xf numFmtId="0" fontId="0" fillId="0" borderId="38" xfId="0" applyFill="1" applyBorder="1"/>
    <xf numFmtId="164" fontId="0" fillId="0" borderId="38" xfId="0" applyNumberFormat="1" applyFill="1" applyBorder="1"/>
    <xf numFmtId="10" fontId="0" fillId="0" borderId="36" xfId="0" applyNumberFormat="1" applyBorder="1" applyAlignment="1">
      <alignment horizontal="right"/>
    </xf>
    <xf numFmtId="10" fontId="0" fillId="4" borderId="0" xfId="2" applyNumberFormat="1" applyFont="1" applyFill="1"/>
    <xf numFmtId="164" fontId="0" fillId="0" borderId="0" xfId="1" applyNumberFormat="1" applyFont="1" applyBorder="1" applyAlignment="1">
      <alignment horizontal="center"/>
    </xf>
    <xf numFmtId="38" fontId="0" fillId="0" borderId="0" xfId="0" applyNumberFormat="1"/>
    <xf numFmtId="0" fontId="0" fillId="0" borderId="13" xfId="0" applyBorder="1"/>
    <xf numFmtId="0" fontId="0" fillId="0" borderId="60" xfId="0" applyBorder="1"/>
    <xf numFmtId="0" fontId="0" fillId="0" borderId="76" xfId="0" applyBorder="1"/>
    <xf numFmtId="0" fontId="0" fillId="0" borderId="80" xfId="0" applyBorder="1"/>
    <xf numFmtId="0" fontId="13" fillId="0" borderId="11" xfId="0" applyFont="1" applyBorder="1" applyAlignment="1">
      <alignment horizontal="left"/>
    </xf>
    <xf numFmtId="0" fontId="0" fillId="0" borderId="14" xfId="0" applyBorder="1"/>
    <xf numFmtId="167" fontId="0" fillId="0" borderId="1" xfId="2" applyNumberFormat="1" applyFont="1" applyBorder="1" applyAlignment="1">
      <alignment horizontal="center"/>
    </xf>
    <xf numFmtId="170" fontId="8" fillId="0" borderId="0" xfId="4" applyNumberFormat="1" applyFont="1" applyFill="1" applyBorder="1" applyAlignment="1">
      <alignment horizontal="center"/>
    </xf>
    <xf numFmtId="171" fontId="0" fillId="0" borderId="1" xfId="0" applyNumberFormat="1" applyBorder="1" applyAlignment="1">
      <alignment horizontal="center"/>
    </xf>
    <xf numFmtId="170" fontId="8" fillId="12" borderId="1" xfId="0" applyNumberFormat="1" applyFont="1" applyFill="1" applyBorder="1" applyAlignment="1">
      <alignment horizontal="center"/>
    </xf>
    <xf numFmtId="49" fontId="0" fillId="0" borderId="11" xfId="0" applyNumberFormat="1" applyBorder="1" applyAlignment="1">
      <alignment horizontal="right"/>
    </xf>
    <xf numFmtId="2" fontId="0" fillId="0" borderId="1" xfId="0" applyNumberFormat="1" applyBorder="1" applyAlignment="1">
      <alignment horizontal="center"/>
    </xf>
    <xf numFmtId="170" fontId="9" fillId="0" borderId="1" xfId="0" applyNumberFormat="1" applyFont="1" applyBorder="1" applyAlignment="1">
      <alignment horizontal="center"/>
    </xf>
    <xf numFmtId="170" fontId="8" fillId="12" borderId="1" xfId="0" applyNumberFormat="1" applyFont="1" applyFill="1" applyBorder="1" applyAlignment="1">
      <alignment horizontal="center" vertical="center"/>
    </xf>
    <xf numFmtId="170" fontId="34" fillId="0" borderId="1" xfId="0" quotePrefix="1" applyNumberFormat="1" applyFont="1" applyBorder="1" applyAlignment="1">
      <alignment horizontal="center"/>
    </xf>
    <xf numFmtId="170" fontId="15" fillId="12" borderId="1" xfId="0" applyNumberFormat="1" applyFont="1" applyFill="1" applyBorder="1" applyAlignment="1">
      <alignment horizontal="left"/>
    </xf>
    <xf numFmtId="9" fontId="0" fillId="0" borderId="1" xfId="2" applyFont="1" applyBorder="1" applyAlignment="1">
      <alignment horizontal="center"/>
    </xf>
    <xf numFmtId="170" fontId="30" fillId="12" borderId="1" xfId="0" applyNumberFormat="1" applyFont="1" applyFill="1" applyBorder="1" applyAlignment="1">
      <alignment horizontal="center"/>
    </xf>
    <xf numFmtId="0" fontId="8" fillId="0" borderId="30" xfId="0" applyFont="1" applyBorder="1" applyAlignment="1">
      <alignment horizontal="center" vertical="center"/>
    </xf>
    <xf numFmtId="0" fontId="8" fillId="0" borderId="33" xfId="0" applyFont="1" applyBorder="1" applyAlignment="1">
      <alignment horizontal="center" vertical="center"/>
    </xf>
    <xf numFmtId="2" fontId="0" fillId="10" borderId="9" xfId="0" applyNumberFormat="1" applyFill="1" applyBorder="1" applyAlignment="1">
      <alignment horizontal="center"/>
    </xf>
    <xf numFmtId="0" fontId="8" fillId="0" borderId="0" xfId="0" applyFont="1" applyAlignment="1">
      <alignment horizontal="center"/>
    </xf>
    <xf numFmtId="0" fontId="0" fillId="0" borderId="0" xfId="0" applyAlignment="1">
      <alignment horizontal="center"/>
    </xf>
    <xf numFmtId="9" fontId="8" fillId="0" borderId="0" xfId="0" applyNumberFormat="1" applyFont="1" applyAlignment="1">
      <alignment horizontal="center"/>
    </xf>
    <xf numFmtId="2" fontId="0" fillId="8" borderId="35" xfId="0" applyNumberFormat="1" applyFill="1" applyBorder="1" applyAlignment="1">
      <alignment horizontal="center"/>
    </xf>
    <xf numFmtId="0" fontId="0" fillId="9" borderId="35" xfId="0" applyFill="1" applyBorder="1" applyAlignment="1">
      <alignment horizontal="center"/>
    </xf>
    <xf numFmtId="2" fontId="0" fillId="10" borderId="36" xfId="0" applyNumberFormat="1" applyFill="1" applyBorder="1" applyAlignment="1">
      <alignment horizontal="center"/>
    </xf>
    <xf numFmtId="0" fontId="4" fillId="0" borderId="0" xfId="0" applyFont="1" applyAlignment="1">
      <alignment horizontal="center"/>
    </xf>
    <xf numFmtId="0" fontId="7" fillId="0" borderId="0" xfId="0" applyFont="1" applyAlignment="1">
      <alignment horizontal="center"/>
    </xf>
    <xf numFmtId="0" fontId="5" fillId="0" borderId="13" xfId="0" applyFont="1" applyFill="1" applyBorder="1" applyAlignment="1">
      <alignment horizontal="center"/>
    </xf>
    <xf numFmtId="0" fontId="9" fillId="0" borderId="13" xfId="0" applyFont="1" applyFill="1" applyBorder="1" applyAlignment="1"/>
    <xf numFmtId="167" fontId="8" fillId="0" borderId="1" xfId="2" applyNumberFormat="1" applyFont="1" applyFill="1" applyBorder="1" applyAlignment="1">
      <alignment horizontal="center"/>
    </xf>
    <xf numFmtId="167" fontId="8" fillId="0" borderId="0" xfId="2" applyNumberFormat="1" applyFont="1" applyFill="1" applyBorder="1" applyAlignment="1">
      <alignment horizontal="center"/>
    </xf>
    <xf numFmtId="171" fontId="8" fillId="0" borderId="0" xfId="0" applyNumberFormat="1" applyFont="1" applyFill="1" applyBorder="1" applyAlignment="1">
      <alignment horizontal="center"/>
    </xf>
    <xf numFmtId="0" fontId="9" fillId="0" borderId="1" xfId="0" applyFont="1" applyFill="1" applyBorder="1" applyAlignment="1">
      <alignment horizontal="center"/>
    </xf>
    <xf numFmtId="170" fontId="8" fillId="0" borderId="1" xfId="0" applyNumberFormat="1" applyFont="1" applyFill="1" applyBorder="1" applyAlignment="1">
      <alignment horizontal="center"/>
    </xf>
    <xf numFmtId="0" fontId="9" fillId="0" borderId="13" xfId="0" applyFont="1" applyFill="1" applyBorder="1" applyAlignment="1">
      <alignment horizontal="center"/>
    </xf>
    <xf numFmtId="0" fontId="0" fillId="0" borderId="1" xfId="0" applyBorder="1" applyAlignment="1">
      <alignment horizontal="center" wrapText="1"/>
    </xf>
    <xf numFmtId="172" fontId="0" fillId="0" borderId="0" xfId="0" applyNumberFormat="1" applyAlignment="1">
      <alignment horizontal="center"/>
    </xf>
    <xf numFmtId="0" fontId="17" fillId="0" borderId="1" xfId="0" applyFont="1" applyBorder="1" applyAlignment="1">
      <alignment horizontal="center"/>
    </xf>
    <xf numFmtId="9" fontId="3" fillId="0" borderId="5" xfId="0" applyNumberFormat="1" applyFont="1" applyBorder="1" applyAlignment="1">
      <alignment horizontal="center"/>
    </xf>
    <xf numFmtId="9" fontId="0" fillId="0" borderId="5" xfId="2" applyFont="1" applyBorder="1" applyAlignment="1">
      <alignment horizontal="center"/>
    </xf>
    <xf numFmtId="1" fontId="0" fillId="0" borderId="5" xfId="0" applyNumberFormat="1" applyBorder="1" applyAlignment="1">
      <alignment horizontal="center"/>
    </xf>
    <xf numFmtId="172" fontId="0" fillId="0" borderId="5" xfId="0" applyNumberFormat="1" applyBorder="1" applyAlignment="1">
      <alignment horizontal="center"/>
    </xf>
    <xf numFmtId="0" fontId="0" fillId="0" borderId="7" xfId="0" applyBorder="1"/>
    <xf numFmtId="10" fontId="0" fillId="0" borderId="5" xfId="2" applyNumberFormat="1" applyFont="1" applyBorder="1" applyAlignment="1">
      <alignment horizontal="center"/>
    </xf>
    <xf numFmtId="40" fontId="0" fillId="0" borderId="5" xfId="1" applyNumberFormat="1" applyFont="1" applyFill="1" applyBorder="1" applyAlignment="1">
      <alignment horizontal="center"/>
    </xf>
    <xf numFmtId="43" fontId="0" fillId="0" borderId="1" xfId="1" applyFont="1" applyBorder="1"/>
    <xf numFmtId="0" fontId="5" fillId="0" borderId="41" xfId="0" applyFont="1" applyBorder="1" applyAlignment="1">
      <alignment horizontal="left" wrapText="1"/>
    </xf>
    <xf numFmtId="0" fontId="0" fillId="0" borderId="0" xfId="0"/>
    <xf numFmtId="0" fontId="4" fillId="0" borderId="0" xfId="0" applyFont="1"/>
    <xf numFmtId="0" fontId="0" fillId="0" borderId="36" xfId="0" applyBorder="1"/>
    <xf numFmtId="0" fontId="9" fillId="0" borderId="0" xfId="0" applyFont="1" applyFill="1" applyBorder="1" applyAlignment="1">
      <alignment horizontal="center"/>
    </xf>
    <xf numFmtId="2" fontId="0" fillId="0" borderId="0" xfId="0" applyNumberFormat="1" applyFill="1" applyBorder="1" applyAlignment="1">
      <alignment horizontal="center"/>
    </xf>
    <xf numFmtId="164" fontId="0" fillId="0" borderId="0" xfId="1" applyNumberFormat="1" applyFont="1" applyAlignment="1">
      <alignment horizontal="center" vertical="center" wrapText="1"/>
    </xf>
    <xf numFmtId="38" fontId="0" fillId="0" borderId="0" xfId="1" applyNumberFormat="1" applyFont="1" applyBorder="1" applyAlignment="1"/>
    <xf numFmtId="38" fontId="0" fillId="0" borderId="0" xfId="1" applyNumberFormat="1" applyFont="1"/>
    <xf numFmtId="38" fontId="3" fillId="0" borderId="0" xfId="1" applyNumberFormat="1" applyFont="1"/>
    <xf numFmtId="38" fontId="0" fillId="0" borderId="0" xfId="1" applyNumberFormat="1" applyFont="1" applyFill="1"/>
    <xf numFmtId="0" fontId="36" fillId="0" borderId="0" xfId="0" applyFont="1"/>
    <xf numFmtId="0" fontId="0" fillId="0" borderId="3" xfId="0" applyBorder="1" applyAlignment="1">
      <alignment horizontal="right"/>
    </xf>
    <xf numFmtId="0" fontId="37" fillId="0" borderId="0" xfId="0" applyFont="1" applyAlignment="1">
      <alignment wrapText="1"/>
    </xf>
    <xf numFmtId="0" fontId="3" fillId="0" borderId="1" xfId="0" applyFont="1" applyBorder="1" applyAlignment="1">
      <alignment horizontal="center"/>
    </xf>
    <xf numFmtId="0" fontId="0" fillId="0" borderId="0" xfId="0"/>
    <xf numFmtId="3" fontId="0" fillId="0" borderId="1" xfId="0" applyNumberFormat="1" applyBorder="1" applyAlignment="1">
      <alignment horizontal="center"/>
    </xf>
    <xf numFmtId="0" fontId="0" fillId="0" borderId="0" xfId="0"/>
    <xf numFmtId="37" fontId="0" fillId="0" borderId="1" xfId="1" applyNumberFormat="1" applyFont="1" applyBorder="1" applyAlignment="1">
      <alignment horizontal="center"/>
    </xf>
    <xf numFmtId="0" fontId="0" fillId="0" borderId="0" xfId="0"/>
    <xf numFmtId="0" fontId="0" fillId="0" borderId="0" xfId="0"/>
    <xf numFmtId="0" fontId="0" fillId="0" borderId="0" xfId="0"/>
    <xf numFmtId="0" fontId="0" fillId="0" borderId="1" xfId="0" applyBorder="1" applyAlignment="1">
      <alignment horizontal="center" wrapText="1"/>
    </xf>
    <xf numFmtId="0" fontId="0" fillId="0" borderId="0" xfId="0"/>
    <xf numFmtId="0" fontId="0" fillId="0" borderId="0" xfId="0" applyAlignment="1">
      <alignment wrapText="1"/>
    </xf>
    <xf numFmtId="0" fontId="0" fillId="0" borderId="0" xfId="0"/>
    <xf numFmtId="0" fontId="40" fillId="0" borderId="0" xfId="0" applyFont="1" applyAlignment="1">
      <alignment horizontal="center"/>
    </xf>
    <xf numFmtId="0" fontId="20" fillId="0" borderId="0" xfId="0" applyFont="1" applyAlignment="1">
      <alignment horizontal="center"/>
    </xf>
    <xf numFmtId="164" fontId="0" fillId="0" borderId="0" xfId="1" applyNumberFormat="1" applyFont="1" applyFill="1" applyBorder="1" applyAlignment="1">
      <alignment horizontal="center"/>
    </xf>
    <xf numFmtId="164" fontId="28" fillId="0" borderId="0" xfId="1" applyNumberFormat="1" applyFont="1" applyFill="1" applyBorder="1" applyAlignment="1">
      <alignment horizontal="center"/>
    </xf>
    <xf numFmtId="0" fontId="3" fillId="0" borderId="1" xfId="0" applyFont="1" applyBorder="1" applyAlignment="1">
      <alignment vertical="center" wrapText="1"/>
    </xf>
    <xf numFmtId="0" fontId="13" fillId="14" borderId="1" xfId="0" applyFont="1" applyFill="1" applyBorder="1" applyAlignment="1">
      <alignment horizontal="left" vertical="center" wrapText="1"/>
    </xf>
    <xf numFmtId="0" fontId="0" fillId="14" borderId="1" xfId="0" applyFill="1" applyBorder="1" applyAlignment="1">
      <alignment horizontal="center" vertical="center" wrapText="1"/>
    </xf>
    <xf numFmtId="164" fontId="0" fillId="14" borderId="1" xfId="0" applyNumberFormat="1" applyFill="1" applyBorder="1" applyAlignment="1">
      <alignment horizontal="center" vertical="center" wrapText="1"/>
    </xf>
    <xf numFmtId="164" fontId="0" fillId="14" borderId="2" xfId="1" applyNumberFormat="1" applyFont="1" applyFill="1" applyBorder="1" applyAlignment="1">
      <alignment horizontal="center" vertical="center" wrapText="1"/>
    </xf>
    <xf numFmtId="164" fontId="0" fillId="14" borderId="3" xfId="1" applyNumberFormat="1" applyFont="1" applyFill="1" applyBorder="1" applyAlignment="1">
      <alignment horizontal="center" vertical="center" wrapText="1"/>
    </xf>
    <xf numFmtId="164" fontId="0" fillId="0" borderId="11" xfId="1" applyNumberFormat="1" applyFont="1" applyBorder="1"/>
    <xf numFmtId="1" fontId="0" fillId="0" borderId="0" xfId="1" applyNumberFormat="1" applyFont="1"/>
    <xf numFmtId="1" fontId="0" fillId="0" borderId="1" xfId="1" applyNumberFormat="1" applyFont="1" applyFill="1" applyBorder="1"/>
    <xf numFmtId="0" fontId="0" fillId="0" borderId="6" xfId="0" applyBorder="1" applyAlignment="1">
      <alignment horizontal="center" wrapText="1"/>
    </xf>
    <xf numFmtId="6" fontId="0" fillId="0" borderId="0" xfId="0" applyNumberFormat="1"/>
    <xf numFmtId="0" fontId="0" fillId="0" borderId="26" xfId="0" applyBorder="1"/>
    <xf numFmtId="41" fontId="0" fillId="0" borderId="1" xfId="0" applyNumberFormat="1" applyBorder="1"/>
    <xf numFmtId="0" fontId="0" fillId="0" borderId="0" xfId="0"/>
    <xf numFmtId="164" fontId="0" fillId="0" borderId="0" xfId="1" applyNumberFormat="1" applyFont="1" applyBorder="1"/>
    <xf numFmtId="0" fontId="0" fillId="0" borderId="0" xfId="0" applyAlignment="1">
      <alignment vertical="top"/>
    </xf>
    <xf numFmtId="0" fontId="0" fillId="0" borderId="1" xfId="0" applyBorder="1" applyAlignment="1">
      <alignment horizontal="center" wrapText="1"/>
    </xf>
    <xf numFmtId="0" fontId="0" fillId="0" borderId="1" xfId="0" applyBorder="1"/>
    <xf numFmtId="0" fontId="0" fillId="0" borderId="0" xfId="0" applyAlignment="1">
      <alignment wrapText="1"/>
    </xf>
    <xf numFmtId="0" fontId="0" fillId="0" borderId="1" xfId="0" applyBorder="1" applyAlignment="1">
      <alignment horizontal="right"/>
    </xf>
    <xf numFmtId="0" fontId="3" fillId="0" borderId="1" xfId="0" applyFont="1" applyBorder="1"/>
    <xf numFmtId="0" fontId="0" fillId="0" borderId="0" xfId="0" applyAlignment="1">
      <alignment horizontal="left" wrapText="1"/>
    </xf>
    <xf numFmtId="0" fontId="0" fillId="0" borderId="0" xfId="0"/>
    <xf numFmtId="0" fontId="0" fillId="0" borderId="10" xfId="0" applyBorder="1"/>
    <xf numFmtId="0" fontId="0" fillId="0" borderId="0" xfId="0"/>
    <xf numFmtId="0" fontId="3" fillId="0" borderId="0" xfId="0" applyFont="1" applyFill="1"/>
    <xf numFmtId="43" fontId="0" fillId="0" borderId="1" xfId="1" applyNumberFormat="1" applyFont="1" applyBorder="1"/>
    <xf numFmtId="43" fontId="0" fillId="0" borderId="0" xfId="1" applyNumberFormat="1" applyFont="1" applyBorder="1"/>
    <xf numFmtId="164" fontId="0" fillId="0" borderId="0" xfId="0" applyNumberFormat="1" applyBorder="1"/>
    <xf numFmtId="0" fontId="3" fillId="0" borderId="1" xfId="0" applyFont="1" applyFill="1" applyBorder="1" applyAlignment="1">
      <alignment horizontal="center"/>
    </xf>
    <xf numFmtId="38" fontId="0" fillId="0" borderId="0" xfId="0" applyNumberFormat="1" applyAlignment="1">
      <alignment horizontal="center"/>
    </xf>
    <xf numFmtId="0" fontId="3" fillId="0" borderId="0" xfId="0" applyFont="1" applyFill="1" applyBorder="1" applyAlignment="1">
      <alignment horizontal="center"/>
    </xf>
    <xf numFmtId="0" fontId="0" fillId="0" borderId="1" xfId="0" applyFont="1" applyFill="1" applyBorder="1" applyAlignment="1">
      <alignment horizontal="center"/>
    </xf>
    <xf numFmtId="164" fontId="1" fillId="0" borderId="1" xfId="1" applyNumberFormat="1" applyFont="1" applyFill="1" applyBorder="1" applyAlignment="1">
      <alignment horizontal="center"/>
    </xf>
    <xf numFmtId="164" fontId="1" fillId="0" borderId="0" xfId="1" applyNumberFormat="1" applyFont="1" applyFill="1" applyBorder="1" applyAlignment="1">
      <alignment horizontal="center"/>
    </xf>
    <xf numFmtId="9" fontId="0" fillId="0" borderId="1" xfId="2" applyFont="1" applyBorder="1"/>
    <xf numFmtId="0" fontId="3" fillId="0" borderId="1" xfId="0" applyFont="1" applyBorder="1" applyAlignment="1">
      <alignment horizontal="left" wrapText="1"/>
    </xf>
    <xf numFmtId="0" fontId="0" fillId="0" borderId="61" xfId="0" applyBorder="1"/>
    <xf numFmtId="0" fontId="0" fillId="0" borderId="77" xfId="0" applyBorder="1"/>
    <xf numFmtId="167" fontId="0" fillId="0" borderId="5" xfId="2" applyNumberFormat="1" applyFont="1" applyBorder="1" applyAlignment="1">
      <alignment horizontal="center"/>
    </xf>
    <xf numFmtId="0" fontId="0" fillId="0" borderId="0" xfId="0" applyBorder="1" applyAlignment="1">
      <alignment horizontal="center"/>
    </xf>
    <xf numFmtId="0" fontId="0" fillId="0" borderId="0" xfId="0"/>
    <xf numFmtId="0" fontId="0" fillId="0" borderId="0" xfId="0" applyAlignment="1">
      <alignment horizontal="left"/>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164" fontId="6" fillId="0" borderId="0" xfId="1" applyNumberFormat="1" applyFont="1" applyFill="1" applyBorder="1" applyAlignment="1">
      <alignment horizontal="center"/>
    </xf>
    <xf numFmtId="0" fontId="8" fillId="0" borderId="0" xfId="0" applyFont="1" applyFill="1" applyBorder="1"/>
    <xf numFmtId="174" fontId="8" fillId="0" borderId="0" xfId="4" applyNumberFormat="1" applyFont="1" applyFill="1" applyBorder="1"/>
    <xf numFmtId="10" fontId="0" fillId="0" borderId="0" xfId="2" applyNumberFormat="1" applyFont="1" applyFill="1" applyBorder="1" applyAlignment="1"/>
    <xf numFmtId="0" fontId="0" fillId="0" borderId="0" xfId="0" applyFill="1" applyBorder="1"/>
    <xf numFmtId="0" fontId="0" fillId="0" borderId="1" xfId="0" applyBorder="1"/>
    <xf numFmtId="0" fontId="0" fillId="0" borderId="1" xfId="0" applyBorder="1" applyAlignment="1">
      <alignment horizontal="right"/>
    </xf>
    <xf numFmtId="0" fontId="0" fillId="0" borderId="1" xfId="0" applyBorder="1" applyAlignment="1">
      <alignment horizontal="center"/>
    </xf>
    <xf numFmtId="164" fontId="1" fillId="0" borderId="0" xfId="1" applyNumberFormat="1" applyFont="1" applyFill="1" applyBorder="1"/>
    <xf numFmtId="164" fontId="1" fillId="0" borderId="0" xfId="1" applyNumberFormat="1" applyFont="1" applyBorder="1" applyAlignment="1">
      <alignment horizontal="left"/>
    </xf>
    <xf numFmtId="0" fontId="22" fillId="0" borderId="0" xfId="0" applyFont="1" applyAlignment="1">
      <alignment vertical="top"/>
    </xf>
    <xf numFmtId="164" fontId="1" fillId="0" borderId="1" xfId="1" applyNumberFormat="1" applyFont="1" applyBorder="1" applyAlignment="1">
      <alignment horizontal="center"/>
    </xf>
    <xf numFmtId="165" fontId="0" fillId="0" borderId="0" xfId="0" applyNumberFormat="1"/>
    <xf numFmtId="43" fontId="0" fillId="0" borderId="62" xfId="1" applyNumberFormat="1" applyFont="1" applyBorder="1"/>
    <xf numFmtId="0" fontId="0" fillId="0" borderId="62" xfId="0" applyBorder="1" applyAlignment="1">
      <alignment horizontal="left" wrapText="1"/>
    </xf>
    <xf numFmtId="0" fontId="0" fillId="0" borderId="0" xfId="0" applyBorder="1" applyAlignment="1">
      <alignment horizontal="left" wrapText="1"/>
    </xf>
    <xf numFmtId="0" fontId="3" fillId="0" borderId="10" xfId="0" applyFont="1" applyBorder="1" applyAlignment="1">
      <alignment horizontal="right"/>
    </xf>
    <xf numFmtId="167" fontId="8" fillId="0" borderId="0" xfId="0" applyNumberFormat="1" applyFont="1" applyAlignment="1">
      <alignment horizontal="center"/>
    </xf>
    <xf numFmtId="43" fontId="0" fillId="0" borderId="0" xfId="1" applyFont="1" applyFill="1" applyBorder="1" applyAlignment="1">
      <alignment horizontal="right"/>
    </xf>
    <xf numFmtId="0" fontId="5" fillId="0" borderId="11" xfId="0" applyFont="1" applyBorder="1" applyAlignment="1">
      <alignment horizontal="center" vertical="center" wrapText="1"/>
    </xf>
    <xf numFmtId="38" fontId="0" fillId="0" borderId="35" xfId="1" applyNumberFormat="1" applyFont="1" applyBorder="1" applyAlignment="1">
      <alignment horizontal="center"/>
    </xf>
    <xf numFmtId="170" fontId="33" fillId="0" borderId="0" xfId="0" applyNumberFormat="1" applyFont="1" applyBorder="1" applyAlignment="1">
      <alignment horizontal="center"/>
    </xf>
    <xf numFmtId="170" fontId="0" fillId="0" borderId="0" xfId="0" applyNumberFormat="1" applyBorder="1"/>
    <xf numFmtId="170" fontId="8" fillId="0" borderId="0" xfId="0" applyNumberFormat="1" applyFont="1" applyBorder="1" applyAlignment="1">
      <alignment horizontal="center"/>
    </xf>
    <xf numFmtId="170" fontId="8" fillId="0" borderId="0" xfId="0" applyNumberFormat="1" applyFont="1" applyBorder="1" applyAlignment="1">
      <alignment horizontal="right"/>
    </xf>
    <xf numFmtId="167" fontId="8" fillId="0" borderId="38" xfId="2" applyNumberFormat="1" applyFont="1" applyFill="1" applyBorder="1" applyAlignment="1">
      <alignment horizontal="center"/>
    </xf>
    <xf numFmtId="170" fontId="0" fillId="0" borderId="27" xfId="0" applyNumberFormat="1" applyBorder="1"/>
    <xf numFmtId="170" fontId="8" fillId="0" borderId="27" xfId="0" applyNumberFormat="1" applyFont="1" applyBorder="1" applyAlignment="1">
      <alignment horizontal="center"/>
    </xf>
    <xf numFmtId="0" fontId="8" fillId="0" borderId="0" xfId="0" applyFont="1" applyBorder="1" applyAlignment="1">
      <alignment horizontal="center"/>
    </xf>
    <xf numFmtId="0" fontId="0" fillId="0" borderId="83" xfId="0" applyFill="1" applyBorder="1" applyAlignment="1">
      <alignment horizontal="left"/>
    </xf>
    <xf numFmtId="0" fontId="37" fillId="0" borderId="0" xfId="0" applyFont="1" applyBorder="1" applyAlignment="1">
      <alignment wrapText="1"/>
    </xf>
    <xf numFmtId="0" fontId="0" fillId="7" borderId="11" xfId="0" applyFill="1" applyBorder="1"/>
    <xf numFmtId="0" fontId="0" fillId="7" borderId="1" xfId="0" applyFill="1" applyBorder="1"/>
    <xf numFmtId="164" fontId="0" fillId="7" borderId="1" xfId="1" applyNumberFormat="1" applyFont="1" applyFill="1" applyBorder="1"/>
    <xf numFmtId="0" fontId="0" fillId="0" borderId="1" xfId="0" applyFill="1" applyBorder="1" applyAlignment="1">
      <alignment horizontal="right" vertical="center"/>
    </xf>
    <xf numFmtId="0" fontId="0" fillId="0" borderId="38" xfId="0" applyFill="1" applyBorder="1" applyAlignment="1">
      <alignment horizontal="right"/>
    </xf>
    <xf numFmtId="0" fontId="0" fillId="0" borderId="51" xfId="0" applyFill="1" applyBorder="1" applyAlignment="1">
      <alignment horizontal="right"/>
    </xf>
    <xf numFmtId="0" fontId="44" fillId="0" borderId="0" xfId="0" applyFont="1" applyBorder="1" applyAlignment="1">
      <alignment horizontal="center" vertical="center"/>
    </xf>
    <xf numFmtId="0" fontId="0" fillId="0" borderId="0" xfId="0" applyAlignment="1">
      <alignment vertical="center" wrapText="1"/>
    </xf>
    <xf numFmtId="0" fontId="17" fillId="0" borderId="0" xfId="0" applyFont="1" applyBorder="1" applyAlignment="1">
      <alignment horizontal="center" vertical="center"/>
    </xf>
    <xf numFmtId="38" fontId="0" fillId="0" borderId="0" xfId="1" applyNumberFormat="1" applyFont="1" applyFill="1" applyBorder="1" applyAlignment="1">
      <alignment horizontal="center"/>
    </xf>
    <xf numFmtId="38" fontId="18" fillId="0" borderId="0" xfId="1" applyNumberFormat="1" applyFont="1" applyFill="1" applyBorder="1"/>
    <xf numFmtId="38" fontId="25" fillId="0" borderId="0" xfId="1" applyNumberFormat="1" applyFont="1" applyFill="1" applyBorder="1"/>
    <xf numFmtId="38" fontId="9" fillId="0" borderId="0" xfId="1" applyNumberFormat="1" applyFont="1" applyFill="1" applyBorder="1"/>
    <xf numFmtId="0" fontId="10" fillId="0" borderId="0" xfId="1" applyNumberFormat="1" applyFont="1" applyFill="1" applyBorder="1" applyAlignment="1">
      <alignment horizontal="center" vertical="center"/>
    </xf>
    <xf numFmtId="164" fontId="3" fillId="0" borderId="0" xfId="1" applyNumberFormat="1" applyFont="1" applyBorder="1" applyAlignment="1">
      <alignment horizontal="center" wrapText="1"/>
    </xf>
    <xf numFmtId="164" fontId="0" fillId="0" borderId="0" xfId="1" applyNumberFormat="1" applyFont="1" applyFill="1" applyBorder="1" applyAlignment="1">
      <alignment horizontal="right"/>
    </xf>
    <xf numFmtId="0" fontId="3" fillId="0" borderId="0" xfId="0" applyFont="1" applyBorder="1"/>
    <xf numFmtId="164" fontId="3" fillId="0" borderId="0" xfId="1" applyNumberFormat="1" applyFont="1" applyBorder="1"/>
    <xf numFmtId="164" fontId="3" fillId="0" borderId="0" xfId="1" applyNumberFormat="1" applyFont="1" applyBorder="1" applyAlignment="1">
      <alignment horizontal="right"/>
    </xf>
    <xf numFmtId="38" fontId="3" fillId="0" borderId="0" xfId="1" applyNumberFormat="1" applyFont="1" applyBorder="1" applyAlignment="1">
      <alignment horizontal="right"/>
    </xf>
    <xf numFmtId="38" fontId="2" fillId="0" borderId="0" xfId="1" applyNumberFormat="1" applyFont="1" applyFill="1" applyBorder="1"/>
    <xf numFmtId="38" fontId="3" fillId="0" borderId="0" xfId="1" applyNumberFormat="1" applyFont="1" applyFill="1" applyBorder="1" applyAlignment="1"/>
    <xf numFmtId="0" fontId="9" fillId="15" borderId="1" xfId="0" applyFont="1" applyFill="1" applyBorder="1" applyAlignment="1">
      <alignment horizontal="center"/>
    </xf>
    <xf numFmtId="0" fontId="0" fillId="0" borderId="0" xfId="0" applyFill="1" applyBorder="1" applyAlignment="1">
      <alignment horizontal="left"/>
    </xf>
    <xf numFmtId="0" fontId="22" fillId="0" borderId="0" xfId="0" applyFont="1" applyFill="1" applyBorder="1" applyAlignment="1">
      <alignment horizontal="left" wrapText="1"/>
    </xf>
    <xf numFmtId="0" fontId="0" fillId="0" borderId="15" xfId="0" applyFill="1" applyBorder="1"/>
    <xf numFmtId="164" fontId="0" fillId="0" borderId="62" xfId="1" applyNumberFormat="1" applyFont="1" applyFill="1" applyBorder="1"/>
    <xf numFmtId="164" fontId="3" fillId="0" borderId="28" xfId="1" applyNumberFormat="1" applyFont="1" applyFill="1" applyBorder="1" applyAlignment="1">
      <alignment vertical="center"/>
    </xf>
    <xf numFmtId="0" fontId="0" fillId="0" borderId="62" xfId="2" applyNumberFormat="1" applyFont="1" applyBorder="1" applyAlignment="1">
      <alignment horizontal="center" wrapText="1"/>
    </xf>
    <xf numFmtId="10" fontId="0" fillId="0" borderId="62" xfId="2" applyNumberFormat="1" applyFont="1" applyBorder="1"/>
    <xf numFmtId="164" fontId="0" fillId="0" borderId="33" xfId="0" applyNumberFormat="1" applyBorder="1"/>
    <xf numFmtId="164" fontId="0" fillId="0" borderId="2" xfId="1" applyNumberFormat="1" applyFont="1" applyBorder="1" applyAlignment="1">
      <alignment vertical="center"/>
    </xf>
    <xf numFmtId="164" fontId="3" fillId="3" borderId="2" xfId="0" applyNumberFormat="1" applyFont="1" applyFill="1" applyBorder="1" applyAlignment="1">
      <alignment horizontal="right" vertical="center"/>
    </xf>
    <xf numFmtId="164" fontId="0" fillId="0" borderId="71" xfId="1" applyNumberFormat="1" applyFont="1" applyFill="1" applyBorder="1"/>
    <xf numFmtId="164" fontId="0" fillId="0" borderId="71" xfId="1" applyNumberFormat="1" applyFont="1" applyFill="1" applyBorder="1" applyAlignment="1">
      <alignment vertical="center"/>
    </xf>
    <xf numFmtId="0" fontId="0" fillId="0" borderId="85" xfId="0" applyBorder="1"/>
    <xf numFmtId="9" fontId="0" fillId="0" borderId="5" xfId="2" applyFont="1" applyBorder="1" applyAlignment="1">
      <alignment horizontal="center" wrapText="1"/>
    </xf>
    <xf numFmtId="164" fontId="0" fillId="0" borderId="5" xfId="1" applyNumberFormat="1" applyFont="1" applyBorder="1" applyAlignment="1">
      <alignment horizontal="right"/>
    </xf>
    <xf numFmtId="165" fontId="0" fillId="0" borderId="5" xfId="1" applyNumberFormat="1" applyFont="1" applyBorder="1" applyAlignment="1">
      <alignment horizontal="right"/>
    </xf>
    <xf numFmtId="43" fontId="0" fillId="0" borderId="5" xfId="1" applyFont="1" applyBorder="1" applyAlignment="1">
      <alignment horizontal="right"/>
    </xf>
    <xf numFmtId="0" fontId="3" fillId="6" borderId="1" xfId="0" applyFont="1" applyFill="1" applyBorder="1" applyAlignment="1">
      <alignment horizontal="center"/>
    </xf>
    <xf numFmtId="164" fontId="0" fillId="6" borderId="1" xfId="1" applyNumberFormat="1" applyFont="1" applyFill="1" applyBorder="1"/>
    <xf numFmtId="43" fontId="0" fillId="6" borderId="1" xfId="1" applyNumberFormat="1" applyFont="1" applyFill="1" applyBorder="1"/>
    <xf numFmtId="164" fontId="0" fillId="0" borderId="14" xfId="1" applyNumberFormat="1" applyFont="1" applyFill="1" applyBorder="1" applyAlignment="1"/>
    <xf numFmtId="10" fontId="0" fillId="0" borderId="14" xfId="2" applyNumberFormat="1" applyFont="1" applyFill="1" applyBorder="1" applyAlignment="1"/>
    <xf numFmtId="4" fontId="0" fillId="7" borderId="1" xfId="1" applyNumberFormat="1" applyFont="1" applyFill="1" applyBorder="1"/>
    <xf numFmtId="4" fontId="0" fillId="7" borderId="1" xfId="0" applyNumberFormat="1" applyFill="1" applyBorder="1"/>
    <xf numFmtId="164" fontId="0" fillId="0" borderId="71" xfId="0" applyNumberFormat="1" applyBorder="1"/>
    <xf numFmtId="43" fontId="0" fillId="0" borderId="0" xfId="1" applyFont="1" applyFill="1" applyBorder="1" applyAlignment="1"/>
    <xf numFmtId="3" fontId="0" fillId="0" borderId="0" xfId="0" applyNumberFormat="1" applyFont="1" applyBorder="1"/>
    <xf numFmtId="0" fontId="0" fillId="0" borderId="49" xfId="0" applyFont="1" applyFill="1" applyBorder="1" applyAlignment="1">
      <alignment horizontal="right"/>
    </xf>
    <xf numFmtId="0" fontId="0" fillId="0" borderId="3" xfId="0" applyFont="1" applyFill="1" applyBorder="1" applyAlignment="1">
      <alignment horizontal="right"/>
    </xf>
    <xf numFmtId="0" fontId="0" fillId="0" borderId="4" xfId="0" applyFont="1" applyFill="1" applyBorder="1" applyAlignment="1">
      <alignment horizontal="right"/>
    </xf>
    <xf numFmtId="0" fontId="0" fillId="0" borderId="0" xfId="0" applyAlignment="1">
      <alignment horizontal="center" vertical="center"/>
    </xf>
    <xf numFmtId="0" fontId="0" fillId="0" borderId="0" xfId="0" applyAlignment="1">
      <alignment wrapText="1"/>
    </xf>
    <xf numFmtId="0" fontId="0" fillId="0" borderId="0" xfId="0" applyNumberFormat="1"/>
    <xf numFmtId="41" fontId="0" fillId="0" borderId="0" xfId="0" applyNumberFormat="1" applyFill="1" applyBorder="1"/>
    <xf numFmtId="0" fontId="0" fillId="0" borderId="25" xfId="0" applyBorder="1"/>
    <xf numFmtId="0" fontId="5" fillId="0" borderId="0" xfId="0" applyFont="1" applyBorder="1" applyAlignment="1">
      <alignment horizontal="right"/>
    </xf>
    <xf numFmtId="2" fontId="0" fillId="0" borderId="6"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applyAlignment="1">
      <alignment horizontal="center"/>
    </xf>
    <xf numFmtId="0" fontId="0" fillId="13" borderId="0" xfId="0" applyFill="1"/>
    <xf numFmtId="38" fontId="3" fillId="0" borderId="0" xfId="1" applyNumberFormat="1" applyFont="1" applyFill="1" applyAlignment="1">
      <alignment horizontal="left" vertical="center"/>
    </xf>
    <xf numFmtId="38" fontId="3" fillId="0" borderId="0" xfId="1" applyNumberFormat="1" applyFont="1" applyFill="1" applyAlignment="1">
      <alignment horizontal="center" vertical="center"/>
    </xf>
    <xf numFmtId="38" fontId="3" fillId="0" borderId="0" xfId="1" applyNumberFormat="1" applyFont="1" applyFill="1" applyBorder="1" applyAlignment="1">
      <alignment horizontal="center" vertical="center"/>
    </xf>
    <xf numFmtId="3" fontId="0" fillId="0" borderId="0" xfId="0" applyNumberFormat="1" applyAlignment="1">
      <alignment horizontal="center"/>
    </xf>
    <xf numFmtId="0" fontId="5" fillId="13" borderId="6" xfId="0" applyFont="1" applyFill="1" applyBorder="1" applyAlignment="1">
      <alignment horizontal="center"/>
    </xf>
    <xf numFmtId="37" fontId="0" fillId="0" borderId="2" xfId="0" applyNumberFormat="1" applyBorder="1" applyAlignment="1">
      <alignment horizontal="center"/>
    </xf>
    <xf numFmtId="37" fontId="0" fillId="13" borderId="2" xfId="0" applyNumberFormat="1" applyFill="1" applyBorder="1" applyAlignment="1">
      <alignment horizontal="center"/>
    </xf>
    <xf numFmtId="37" fontId="0" fillId="0" borderId="23" xfId="0" applyNumberFormat="1" applyBorder="1" applyAlignment="1">
      <alignment horizontal="center"/>
    </xf>
    <xf numFmtId="164" fontId="0" fillId="13" borderId="7" xfId="1" applyNumberFormat="1" applyFont="1" applyFill="1" applyBorder="1"/>
    <xf numFmtId="164" fontId="0" fillId="0" borderId="22" xfId="1" applyNumberFormat="1" applyFont="1" applyBorder="1"/>
    <xf numFmtId="2" fontId="0" fillId="0" borderId="16" xfId="0" applyNumberFormat="1" applyBorder="1" applyAlignment="1">
      <alignment horizontal="center"/>
    </xf>
    <xf numFmtId="2" fontId="0" fillId="0" borderId="17" xfId="0" applyNumberFormat="1" applyBorder="1" applyAlignment="1">
      <alignment horizontal="center"/>
    </xf>
    <xf numFmtId="2" fontId="0" fillId="0" borderId="18" xfId="0" applyNumberFormat="1" applyBorder="1" applyAlignment="1">
      <alignment horizontal="center"/>
    </xf>
    <xf numFmtId="2" fontId="0" fillId="0" borderId="5" xfId="0" applyNumberFormat="1" applyBorder="1" applyAlignment="1">
      <alignment horizontal="center"/>
    </xf>
    <xf numFmtId="2" fontId="0" fillId="0" borderId="19" xfId="0" applyNumberFormat="1" applyBorder="1" applyAlignment="1">
      <alignment horizontal="center"/>
    </xf>
    <xf numFmtId="2" fontId="0" fillId="13" borderId="1" xfId="0" applyNumberFormat="1" applyFill="1" applyBorder="1" applyAlignment="1">
      <alignment horizontal="center"/>
    </xf>
    <xf numFmtId="0" fontId="0" fillId="0" borderId="1" xfId="0" applyBorder="1"/>
    <xf numFmtId="0" fontId="0" fillId="0" borderId="1" xfId="0" applyBorder="1" applyAlignment="1">
      <alignment horizontal="center" wrapText="1"/>
    </xf>
    <xf numFmtId="0" fontId="0" fillId="7" borderId="11" xfId="0" applyFill="1" applyBorder="1"/>
    <xf numFmtId="0" fontId="0" fillId="7" borderId="1" xfId="0" applyFill="1" applyBorder="1"/>
    <xf numFmtId="0" fontId="0" fillId="0" borderId="1" xfId="0" applyBorder="1"/>
    <xf numFmtId="164" fontId="0" fillId="7" borderId="1" xfId="1" applyNumberFormat="1" applyFont="1" applyFill="1" applyBorder="1"/>
    <xf numFmtId="0" fontId="0" fillId="0" borderId="48" xfId="0" applyBorder="1" applyAlignment="1">
      <alignment horizontal="center" wrapText="1"/>
    </xf>
    <xf numFmtId="16" fontId="0" fillId="0" borderId="1" xfId="1" applyNumberFormat="1" applyFont="1" applyBorder="1" applyAlignment="1">
      <alignment horizontal="center"/>
    </xf>
    <xf numFmtId="0" fontId="8" fillId="0" borderId="0" xfId="0" applyFont="1" applyFill="1" applyBorder="1" applyAlignment="1">
      <alignment horizontal="center"/>
    </xf>
    <xf numFmtId="0" fontId="8" fillId="0" borderId="14" xfId="0" applyFont="1" applyFill="1" applyBorder="1"/>
    <xf numFmtId="0" fontId="8" fillId="0" borderId="14" xfId="0" applyFont="1" applyFill="1" applyBorder="1" applyAlignment="1">
      <alignment horizontal="center"/>
    </xf>
    <xf numFmtId="174" fontId="8" fillId="0" borderId="14" xfId="4" applyNumberFormat="1" applyFont="1" applyFill="1" applyBorder="1"/>
    <xf numFmtId="37" fontId="8" fillId="0" borderId="14" xfId="0" applyNumberFormat="1" applyFont="1" applyFill="1" applyBorder="1" applyAlignment="1">
      <alignment horizontal="center"/>
    </xf>
    <xf numFmtId="0" fontId="9" fillId="0" borderId="87" xfId="0" applyFont="1" applyFill="1" applyBorder="1" applyAlignment="1">
      <alignment horizontal="center" vertical="center" wrapText="1"/>
    </xf>
    <xf numFmtId="37" fontId="8" fillId="0" borderId="89" xfId="1" applyNumberFormat="1" applyFont="1" applyFill="1" applyBorder="1" applyAlignment="1">
      <alignment horizontal="center"/>
    </xf>
    <xf numFmtId="37" fontId="8" fillId="0" borderId="89" xfId="0" applyNumberFormat="1" applyFont="1" applyFill="1" applyBorder="1" applyAlignment="1">
      <alignment horizontal="center"/>
    </xf>
    <xf numFmtId="164" fontId="8" fillId="0" borderId="89" xfId="0" applyNumberFormat="1" applyFont="1" applyBorder="1"/>
    <xf numFmtId="164" fontId="8" fillId="0" borderId="89" xfId="1" applyNumberFormat="1" applyFont="1" applyFill="1" applyBorder="1"/>
    <xf numFmtId="174" fontId="8" fillId="0" borderId="91" xfId="4" applyNumberFormat="1" applyFont="1" applyFill="1" applyBorder="1"/>
    <xf numFmtId="0" fontId="9" fillId="0" borderId="93" xfId="0" applyFont="1" applyBorder="1" applyAlignment="1">
      <alignment horizontal="center"/>
    </xf>
    <xf numFmtId="0" fontId="9" fillId="0" borderId="89" xfId="0" applyFont="1" applyBorder="1" applyAlignment="1">
      <alignment horizontal="center"/>
    </xf>
    <xf numFmtId="164" fontId="0" fillId="0" borderId="89" xfId="1" applyNumberFormat="1" applyFont="1" applyBorder="1"/>
    <xf numFmtId="0" fontId="0" fillId="0" borderId="89" xfId="0" applyFill="1" applyBorder="1"/>
    <xf numFmtId="0" fontId="8" fillId="0" borderId="96" xfId="0" applyFont="1" applyBorder="1"/>
    <xf numFmtId="0" fontId="8" fillId="0" borderId="89" xfId="0" applyFont="1" applyBorder="1"/>
    <xf numFmtId="0" fontId="47" fillId="0" borderId="88" xfId="0" applyFont="1" applyBorder="1" applyAlignment="1">
      <alignment horizontal="left" wrapText="1" indent="1"/>
    </xf>
    <xf numFmtId="0" fontId="0" fillId="0" borderId="88" xfId="0" applyBorder="1" applyAlignment="1">
      <alignment horizontal="left" indent="4"/>
    </xf>
    <xf numFmtId="0" fontId="47" fillId="0" borderId="88" xfId="0" applyFont="1" applyBorder="1" applyAlignment="1">
      <alignment horizontal="left" indent="1"/>
    </xf>
    <xf numFmtId="0" fontId="0" fillId="0" borderId="88" xfId="1" applyNumberFormat="1" applyFont="1" applyFill="1" applyBorder="1" applyAlignment="1">
      <alignment horizontal="left" indent="4"/>
    </xf>
    <xf numFmtId="0" fontId="0" fillId="0" borderId="88" xfId="0" applyNumberFormat="1" applyBorder="1" applyAlignment="1">
      <alignment horizontal="left" indent="4"/>
    </xf>
    <xf numFmtId="37" fontId="0" fillId="0" borderId="89" xfId="1" applyNumberFormat="1" applyFont="1" applyBorder="1" applyAlignment="1"/>
    <xf numFmtId="0" fontId="47" fillId="0" borderId="86" xfId="0" applyFont="1" applyFill="1" applyBorder="1" applyAlignment="1">
      <alignment horizontal="left" vertical="center" wrapText="1" indent="1"/>
    </xf>
    <xf numFmtId="0" fontId="0" fillId="0" borderId="88" xfId="0" applyBorder="1" applyAlignment="1">
      <alignment horizontal="left" vertical="center" indent="4"/>
    </xf>
    <xf numFmtId="0" fontId="0" fillId="0" borderId="90" xfId="0" applyBorder="1" applyAlignment="1">
      <alignment horizontal="left" indent="4"/>
    </xf>
    <xf numFmtId="0" fontId="15" fillId="0" borderId="88" xfId="0" applyFont="1" applyBorder="1" applyAlignment="1">
      <alignment horizontal="left" indent="4"/>
    </xf>
    <xf numFmtId="0" fontId="47" fillId="0" borderId="88" xfId="1" applyNumberFormat="1" applyFont="1" applyFill="1" applyBorder="1" applyAlignment="1">
      <alignment horizontal="left" indent="1"/>
    </xf>
    <xf numFmtId="10" fontId="0" fillId="0" borderId="89" xfId="2" applyNumberFormat="1" applyFont="1" applyFill="1" applyBorder="1" applyAlignment="1"/>
    <xf numFmtId="164" fontId="0" fillId="0" borderId="89" xfId="1" applyNumberFormat="1" applyFont="1" applyFill="1" applyBorder="1"/>
    <xf numFmtId="164" fontId="25" fillId="0" borderId="91" xfId="1" applyNumberFormat="1" applyFont="1" applyFill="1" applyBorder="1"/>
    <xf numFmtId="10" fontId="0" fillId="0" borderId="93" xfId="2" applyNumberFormat="1" applyFont="1" applyFill="1" applyBorder="1" applyAlignment="1"/>
    <xf numFmtId="38" fontId="0" fillId="0" borderId="89" xfId="2" applyNumberFormat="1" applyFont="1" applyFill="1" applyBorder="1" applyAlignment="1">
      <alignment horizontal="center"/>
    </xf>
    <xf numFmtId="38" fontId="0" fillId="0" borderId="89" xfId="1" applyNumberFormat="1" applyFont="1" applyBorder="1" applyAlignment="1">
      <alignment horizontal="center"/>
    </xf>
    <xf numFmtId="0" fontId="0" fillId="0" borderId="88" xfId="0" applyNumberFormat="1" applyBorder="1" applyAlignment="1">
      <alignment horizontal="left" indent="5"/>
    </xf>
    <xf numFmtId="0" fontId="26" fillId="0" borderId="0" xfId="0" applyFont="1" applyBorder="1" applyAlignment="1"/>
    <xf numFmtId="0" fontId="5" fillId="0" borderId="47" xfId="0" applyFont="1" applyBorder="1" applyAlignment="1">
      <alignment horizontal="left" wrapText="1"/>
    </xf>
    <xf numFmtId="0" fontId="0" fillId="7" borderId="39" xfId="0" applyFill="1" applyBorder="1" applyAlignment="1"/>
    <xf numFmtId="0" fontId="0" fillId="7" borderId="7" xfId="0" applyFill="1" applyBorder="1" applyAlignment="1"/>
    <xf numFmtId="0" fontId="0" fillId="7" borderId="7" xfId="0" applyFill="1" applyBorder="1"/>
    <xf numFmtId="164" fontId="0" fillId="5" borderId="70" xfId="1" applyNumberFormat="1" applyFont="1" applyFill="1" applyBorder="1" applyAlignment="1">
      <alignment vertical="center"/>
    </xf>
    <xf numFmtId="0" fontId="0" fillId="0" borderId="99" xfId="0" applyBorder="1" applyAlignment="1">
      <alignment horizontal="center"/>
    </xf>
    <xf numFmtId="0" fontId="0" fillId="0" borderId="99" xfId="0" applyBorder="1"/>
    <xf numFmtId="1" fontId="0" fillId="0" borderId="1" xfId="1" applyNumberFormat="1" applyFont="1" applyFill="1" applyBorder="1" applyAlignment="1"/>
    <xf numFmtId="0" fontId="0" fillId="0" borderId="0" xfId="0" applyAlignment="1">
      <alignment horizontal="right" vertical="center"/>
    </xf>
    <xf numFmtId="0" fontId="0" fillId="0" borderId="0" xfId="0" applyBorder="1" applyAlignment="1">
      <alignment horizontal="center" vertical="center"/>
    </xf>
    <xf numFmtId="164" fontId="14" fillId="0" borderId="100" xfId="1" applyNumberFormat="1" applyFont="1" applyBorder="1" applyAlignment="1">
      <alignment horizontal="center" wrapText="1"/>
    </xf>
    <xf numFmtId="164" fontId="14" fillId="0" borderId="93" xfId="1" applyNumberFormat="1" applyFont="1" applyBorder="1" applyAlignment="1">
      <alignment horizontal="center" wrapText="1"/>
    </xf>
    <xf numFmtId="164" fontId="0" fillId="0" borderId="98" xfId="1" applyNumberFormat="1" applyFont="1" applyBorder="1"/>
    <xf numFmtId="0" fontId="3" fillId="3" borderId="98" xfId="0" applyFont="1" applyFill="1" applyBorder="1" applyAlignment="1">
      <alignment horizontal="right"/>
    </xf>
    <xf numFmtId="164" fontId="0" fillId="0" borderId="98" xfId="1" applyNumberFormat="1" applyFont="1" applyBorder="1" applyAlignment="1">
      <alignment horizontal="center"/>
    </xf>
    <xf numFmtId="164" fontId="0" fillId="0" borderId="98" xfId="1" applyNumberFormat="1" applyFont="1" applyFill="1" applyBorder="1"/>
    <xf numFmtId="164" fontId="0" fillId="6" borderId="91" xfId="0" applyNumberFormat="1" applyFill="1" applyBorder="1"/>
    <xf numFmtId="0" fontId="0" fillId="0" borderId="94" xfId="0" applyBorder="1"/>
    <xf numFmtId="0" fontId="0" fillId="0" borderId="95" xfId="0" applyBorder="1"/>
    <xf numFmtId="0" fontId="0" fillId="0" borderId="94" xfId="0" applyBorder="1" applyAlignment="1">
      <alignment horizontal="center"/>
    </xf>
    <xf numFmtId="0" fontId="0" fillId="0" borderId="95" xfId="0" applyBorder="1" applyAlignment="1">
      <alignment horizontal="center"/>
    </xf>
    <xf numFmtId="0" fontId="3" fillId="0" borderId="94" xfId="0" applyFont="1" applyBorder="1" applyAlignment="1">
      <alignment horizontal="center"/>
    </xf>
    <xf numFmtId="0" fontId="3" fillId="0" borderId="99" xfId="0" applyFont="1" applyBorder="1" applyAlignment="1">
      <alignment horizontal="center"/>
    </xf>
    <xf numFmtId="0" fontId="3" fillId="0" borderId="95" xfId="0" applyFont="1" applyBorder="1" applyAlignment="1">
      <alignment horizontal="center"/>
    </xf>
    <xf numFmtId="0" fontId="20" fillId="0" borderId="0" xfId="0" applyFont="1" applyAlignment="1">
      <alignment horizontal="center" vertical="center"/>
    </xf>
    <xf numFmtId="164" fontId="3" fillId="0" borderId="0" xfId="1" applyNumberFormat="1" applyFont="1" applyFill="1" applyBorder="1"/>
    <xf numFmtId="164" fontId="18" fillId="0" borderId="0" xfId="1" applyNumberFormat="1" applyFont="1" applyFill="1" applyBorder="1"/>
    <xf numFmtId="0" fontId="0" fillId="0" borderId="0" xfId="0" applyFont="1" applyFill="1" applyBorder="1"/>
    <xf numFmtId="0" fontId="0" fillId="7" borderId="11" xfId="0" applyFill="1" applyBorder="1"/>
    <xf numFmtId="0" fontId="0" fillId="7" borderId="1" xfId="0" applyFill="1" applyBorder="1"/>
    <xf numFmtId="164" fontId="0" fillId="7" borderId="11" xfId="1" applyNumberFormat="1" applyFont="1" applyFill="1" applyBorder="1"/>
    <xf numFmtId="164" fontId="0" fillId="7" borderId="1" xfId="1" applyNumberFormat="1" applyFont="1" applyFill="1" applyBorder="1"/>
    <xf numFmtId="0" fontId="5" fillId="0" borderId="41" xfId="0" applyFont="1" applyBorder="1" applyAlignment="1">
      <alignment horizontal="left" wrapText="1"/>
    </xf>
    <xf numFmtId="0" fontId="20" fillId="0" borderId="0" xfId="0" applyFont="1" applyAlignment="1">
      <alignment horizontal="center" vertical="center"/>
    </xf>
    <xf numFmtId="0" fontId="0" fillId="0" borderId="0" xfId="0" applyAlignment="1">
      <alignment wrapText="1"/>
    </xf>
    <xf numFmtId="0" fontId="0" fillId="7" borderId="1" xfId="0" applyFill="1" applyBorder="1" applyAlignment="1">
      <alignment horizontal="center"/>
    </xf>
    <xf numFmtId="2" fontId="0" fillId="7" borderId="1" xfId="0" applyNumberFormat="1" applyFill="1" applyBorder="1" applyAlignment="1">
      <alignment horizontal="center"/>
    </xf>
    <xf numFmtId="164" fontId="3" fillId="3" borderId="89" xfId="1" applyNumberFormat="1" applyFont="1" applyFill="1" applyBorder="1"/>
    <xf numFmtId="0" fontId="49" fillId="17" borderId="0" xfId="0" applyFont="1" applyFill="1"/>
    <xf numFmtId="0" fontId="50" fillId="17" borderId="0" xfId="0" applyFont="1" applyFill="1" applyAlignment="1">
      <alignment horizontal="center" vertical="center"/>
    </xf>
    <xf numFmtId="0" fontId="0" fillId="0" borderId="27" xfId="0" applyBorder="1"/>
    <xf numFmtId="0" fontId="23" fillId="15" borderId="75" xfId="0" applyFont="1" applyFill="1" applyBorder="1" applyAlignment="1">
      <alignment horizontal="center"/>
    </xf>
    <xf numFmtId="0" fontId="6" fillId="15" borderId="75" xfId="0" applyFont="1" applyFill="1" applyBorder="1" applyAlignment="1">
      <alignment horizontal="center" vertical="center" wrapText="1"/>
    </xf>
    <xf numFmtId="164" fontId="0" fillId="0" borderId="0" xfId="0" applyNumberFormat="1" applyAlignment="1">
      <alignment vertical="center"/>
    </xf>
    <xf numFmtId="174" fontId="8" fillId="0" borderId="89" xfId="4" applyNumberFormat="1" applyFont="1" applyFill="1" applyBorder="1"/>
    <xf numFmtId="164" fontId="0" fillId="3" borderId="84" xfId="1" applyNumberFormat="1" applyFont="1" applyFill="1" applyBorder="1" applyAlignment="1">
      <alignment horizontal="left" vertical="center"/>
    </xf>
    <xf numFmtId="0" fontId="0" fillId="14" borderId="1" xfId="1" applyNumberFormat="1" applyFont="1" applyFill="1" applyBorder="1" applyAlignment="1">
      <alignment horizontal="center" vertical="center" wrapText="1"/>
    </xf>
    <xf numFmtId="164" fontId="0" fillId="0" borderId="0" xfId="0" applyNumberFormat="1" applyFill="1"/>
    <xf numFmtId="164" fontId="0" fillId="14" borderId="9" xfId="0" applyNumberFormat="1" applyFill="1" applyBorder="1" applyAlignment="1">
      <alignment horizontal="center" vertical="center" wrapText="1"/>
    </xf>
    <xf numFmtId="164" fontId="0" fillId="14" borderId="11" xfId="0" applyNumberFormat="1" applyFill="1" applyBorder="1" applyAlignment="1">
      <alignment horizontal="center" vertical="center" wrapText="1"/>
    </xf>
    <xf numFmtId="0" fontId="20" fillId="0" borderId="0" xfId="0" applyFont="1" applyAlignment="1">
      <alignment horizontal="center" vertical="center"/>
    </xf>
    <xf numFmtId="0" fontId="14" fillId="0" borderId="98" xfId="0" applyFont="1" applyBorder="1" applyAlignment="1">
      <alignment vertical="center"/>
    </xf>
    <xf numFmtId="0" fontId="14" fillId="0" borderId="89" xfId="0" applyFont="1" applyBorder="1" applyAlignment="1">
      <alignment vertical="center"/>
    </xf>
    <xf numFmtId="0" fontId="0" fillId="0" borderId="0" xfId="0" applyBorder="1" applyAlignment="1">
      <alignment vertical="center" wrapText="1"/>
    </xf>
    <xf numFmtId="164" fontId="0" fillId="0" borderId="98" xfId="1" applyNumberFormat="1" applyFont="1" applyFill="1" applyBorder="1" applyAlignment="1">
      <alignment horizontal="center"/>
    </xf>
    <xf numFmtId="0" fontId="6" fillId="0" borderId="11" xfId="0" applyFont="1" applyBorder="1" applyAlignment="1">
      <alignment horizontal="center"/>
    </xf>
    <xf numFmtId="0" fontId="5" fillId="0" borderId="41" xfId="0" applyFont="1" applyBorder="1" applyAlignment="1">
      <alignment horizontal="left" wrapText="1"/>
    </xf>
    <xf numFmtId="0" fontId="0" fillId="0" borderId="48" xfId="0" applyBorder="1" applyAlignment="1">
      <alignment horizontal="center" wrapText="1"/>
    </xf>
    <xf numFmtId="164" fontId="0" fillId="0" borderId="0" xfId="0" applyNumberFormat="1" applyFont="1" applyFill="1" applyBorder="1" applyAlignment="1">
      <alignment horizontal="center" wrapText="1"/>
    </xf>
    <xf numFmtId="0" fontId="8" fillId="0" borderId="0" xfId="0" applyFont="1" applyAlignment="1">
      <alignment horizontal="center" vertical="center"/>
    </xf>
    <xf numFmtId="0" fontId="0" fillId="0" borderId="97" xfId="0" applyBorder="1"/>
    <xf numFmtId="0" fontId="0" fillId="0" borderId="97" xfId="0" applyFill="1" applyBorder="1"/>
    <xf numFmtId="0" fontId="0" fillId="0" borderId="97" xfId="0" applyFont="1" applyFill="1" applyBorder="1" applyAlignment="1"/>
    <xf numFmtId="0" fontId="0" fillId="0" borderId="97" xfId="0" applyBorder="1" applyAlignment="1"/>
    <xf numFmtId="0" fontId="0" fillId="0" borderId="1" xfId="0" applyBorder="1"/>
    <xf numFmtId="0" fontId="0" fillId="0" borderId="1" xfId="0" applyFont="1" applyBorder="1" applyAlignment="1">
      <alignment horizontal="center" wrapText="1"/>
    </xf>
    <xf numFmtId="164" fontId="0" fillId="0" borderId="1" xfId="1" applyNumberFormat="1" applyFont="1" applyBorder="1" applyAlignment="1">
      <alignment horizontal="center" wrapText="1"/>
    </xf>
    <xf numFmtId="0" fontId="0" fillId="0" borderId="2" xfId="0" applyFont="1" applyBorder="1" applyAlignment="1">
      <alignment horizontal="center" wrapText="1"/>
    </xf>
    <xf numFmtId="10" fontId="0" fillId="0" borderId="0" xfId="0" applyNumberFormat="1" applyBorder="1"/>
    <xf numFmtId="0" fontId="3" fillId="0" borderId="0" xfId="0" applyFont="1" applyFill="1" applyBorder="1" applyAlignment="1">
      <alignment horizontal="center" wrapText="1"/>
    </xf>
    <xf numFmtId="164" fontId="3" fillId="0" borderId="0" xfId="1" applyNumberFormat="1" applyFont="1" applyFill="1" applyBorder="1" applyAlignment="1">
      <alignment horizontal="center" wrapText="1"/>
    </xf>
    <xf numFmtId="0" fontId="8" fillId="0" borderId="109" xfId="0" applyFont="1" applyBorder="1" applyAlignment="1">
      <alignment horizontal="center" vertical="center"/>
    </xf>
    <xf numFmtId="0" fontId="8" fillId="0" borderId="110" xfId="0" applyFont="1" applyBorder="1" applyAlignment="1">
      <alignment horizontal="center" vertical="center"/>
    </xf>
    <xf numFmtId="49" fontId="5" fillId="0" borderId="108" xfId="0" applyNumberFormat="1" applyFont="1" applyBorder="1"/>
    <xf numFmtId="0" fontId="8" fillId="0" borderId="109" xfId="0" applyFont="1" applyBorder="1"/>
    <xf numFmtId="0" fontId="0" fillId="8" borderId="109" xfId="0" applyFill="1" applyBorder="1" applyAlignment="1">
      <alignment horizontal="center"/>
    </xf>
    <xf numFmtId="0" fontId="0" fillId="9" borderId="109" xfId="0" applyFill="1" applyBorder="1" applyAlignment="1">
      <alignment horizontal="center"/>
    </xf>
    <xf numFmtId="0" fontId="0" fillId="10" borderId="110" xfId="0" applyFill="1" applyBorder="1" applyAlignment="1">
      <alignment horizontal="center"/>
    </xf>
    <xf numFmtId="2" fontId="0" fillId="8" borderId="109" xfId="0" applyNumberFormat="1" applyFill="1" applyBorder="1" applyAlignment="1">
      <alignment horizontal="center"/>
    </xf>
    <xf numFmtId="2" fontId="0" fillId="10" borderId="110" xfId="0" applyNumberFormat="1" applyFill="1" applyBorder="1" applyAlignment="1">
      <alignment horizontal="center"/>
    </xf>
    <xf numFmtId="37" fontId="0" fillId="8" borderId="109" xfId="0" applyNumberFormat="1" applyFill="1" applyBorder="1" applyAlignment="1">
      <alignment horizontal="center"/>
    </xf>
    <xf numFmtId="37" fontId="0" fillId="9" borderId="109" xfId="0" applyNumberFormat="1" applyFill="1" applyBorder="1" applyAlignment="1">
      <alignment horizontal="center"/>
    </xf>
    <xf numFmtId="37" fontId="0" fillId="10" borderId="110" xfId="0" applyNumberFormat="1" applyFill="1" applyBorder="1" applyAlignment="1">
      <alignment horizontal="center"/>
    </xf>
    <xf numFmtId="9" fontId="0" fillId="8" borderId="109" xfId="2" applyFont="1" applyFill="1" applyBorder="1" applyAlignment="1">
      <alignment horizontal="center"/>
    </xf>
    <xf numFmtId="16" fontId="0" fillId="9" borderId="109" xfId="0" applyNumberFormat="1" applyFill="1"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2" fontId="0" fillId="8" borderId="109" xfId="0" applyNumberFormat="1" applyFill="1" applyBorder="1" applyAlignment="1">
      <alignment horizontal="center" wrapText="1"/>
    </xf>
    <xf numFmtId="0" fontId="0" fillId="9" borderId="109" xfId="0" applyFill="1" applyBorder="1" applyAlignment="1">
      <alignment horizontal="center" wrapText="1"/>
    </xf>
    <xf numFmtId="2" fontId="0" fillId="10" borderId="110" xfId="0" applyNumberFormat="1" applyFill="1" applyBorder="1" applyAlignment="1">
      <alignment horizontal="center" wrapText="1"/>
    </xf>
    <xf numFmtId="2" fontId="0" fillId="8" borderId="112" xfId="0" applyNumberFormat="1" applyFill="1" applyBorder="1" applyAlignment="1">
      <alignment horizontal="center"/>
    </xf>
    <xf numFmtId="0" fontId="0" fillId="9" borderId="112" xfId="0" applyFill="1" applyBorder="1" applyAlignment="1">
      <alignment horizontal="center"/>
    </xf>
    <xf numFmtId="2" fontId="0" fillId="10" borderId="113" xfId="0" applyNumberFormat="1" applyFill="1" applyBorder="1" applyAlignment="1">
      <alignment horizontal="center"/>
    </xf>
    <xf numFmtId="0" fontId="9" fillId="0" borderId="108" xfId="0" applyFont="1" applyBorder="1" applyAlignment="1">
      <alignment horizontal="center"/>
    </xf>
    <xf numFmtId="0" fontId="9" fillId="0" borderId="110" xfId="0" applyFont="1" applyBorder="1" applyAlignment="1">
      <alignment horizontal="center"/>
    </xf>
    <xf numFmtId="172" fontId="8" fillId="0" borderId="110" xfId="0" applyNumberFormat="1" applyFont="1" applyFill="1" applyBorder="1" applyAlignment="1">
      <alignment horizontal="center"/>
    </xf>
    <xf numFmtId="167" fontId="8" fillId="0" borderId="108" xfId="2" applyNumberFormat="1" applyFont="1" applyFill="1" applyBorder="1" applyAlignment="1">
      <alignment horizontal="center"/>
    </xf>
    <xf numFmtId="167" fontId="8" fillId="0" borderId="110" xfId="2" applyNumberFormat="1" applyFont="1" applyFill="1" applyBorder="1" applyAlignment="1">
      <alignment horizontal="center"/>
    </xf>
    <xf numFmtId="0" fontId="8" fillId="0" borderId="108" xfId="0" applyFont="1" applyFill="1" applyBorder="1" applyAlignment="1">
      <alignment horizontal="center"/>
    </xf>
    <xf numFmtId="0" fontId="8" fillId="0" borderId="110" xfId="0" applyFont="1" applyFill="1" applyBorder="1" applyAlignment="1">
      <alignment horizontal="center"/>
    </xf>
    <xf numFmtId="9" fontId="8" fillId="0" borderId="108" xfId="2" applyNumberFormat="1" applyFont="1" applyFill="1" applyBorder="1" applyAlignment="1">
      <alignment horizontal="center"/>
    </xf>
    <xf numFmtId="9" fontId="8" fillId="0" borderId="110" xfId="2" applyNumberFormat="1" applyFont="1" applyFill="1" applyBorder="1" applyAlignment="1">
      <alignment horizontal="center"/>
    </xf>
    <xf numFmtId="2" fontId="8" fillId="0" borderId="108" xfId="0" applyNumberFormat="1" applyFont="1" applyFill="1" applyBorder="1" applyAlignment="1">
      <alignment horizontal="center"/>
    </xf>
    <xf numFmtId="2" fontId="8" fillId="0" borderId="110" xfId="0" applyNumberFormat="1" applyFont="1" applyFill="1" applyBorder="1" applyAlignment="1">
      <alignment horizontal="center"/>
    </xf>
    <xf numFmtId="164" fontId="8" fillId="0" borderId="110" xfId="1" applyNumberFormat="1" applyFont="1" applyFill="1" applyBorder="1" applyAlignment="1">
      <alignment horizontal="center"/>
    </xf>
    <xf numFmtId="9" fontId="8" fillId="0" borderId="110" xfId="2" applyNumberFormat="1" applyFont="1" applyFill="1" applyBorder="1" applyAlignment="1">
      <alignment horizontal="center" vertical="center"/>
    </xf>
    <xf numFmtId="9" fontId="8" fillId="0" borderId="116" xfId="2" applyNumberFormat="1" applyFont="1" applyFill="1" applyBorder="1" applyAlignment="1">
      <alignment horizontal="center"/>
    </xf>
    <xf numFmtId="9" fontId="8" fillId="0" borderId="117" xfId="2" applyNumberFormat="1" applyFont="1" applyFill="1" applyBorder="1" applyAlignment="1">
      <alignment horizontal="center"/>
    </xf>
    <xf numFmtId="0" fontId="9" fillId="0" borderId="109" xfId="0" applyFont="1" applyBorder="1" applyAlignment="1">
      <alignment horizontal="center"/>
    </xf>
    <xf numFmtId="0" fontId="8" fillId="0" borderId="110" xfId="0" applyFont="1" applyBorder="1" applyAlignment="1">
      <alignment horizontal="center"/>
    </xf>
    <xf numFmtId="0" fontId="8" fillId="0" borderId="109" xfId="0" applyFont="1" applyFill="1" applyBorder="1" applyAlignment="1">
      <alignment horizontal="center"/>
    </xf>
    <xf numFmtId="9" fontId="8" fillId="0" borderId="110" xfId="2" applyFont="1" applyFill="1" applyBorder="1" applyAlignment="1">
      <alignment horizontal="center"/>
    </xf>
    <xf numFmtId="2" fontId="8" fillId="0" borderId="109" xfId="0" applyNumberFormat="1" applyFont="1" applyFill="1" applyBorder="1" applyAlignment="1">
      <alignment horizontal="center"/>
    </xf>
    <xf numFmtId="49" fontId="8" fillId="0" borderId="122" xfId="0" applyNumberFormat="1" applyFont="1" applyBorder="1" applyAlignment="1">
      <alignment horizontal="center"/>
    </xf>
    <xf numFmtId="0" fontId="8" fillId="0" borderId="120" xfId="0" applyFont="1" applyBorder="1"/>
    <xf numFmtId="49" fontId="8" fillId="0" borderId="122" xfId="0" applyNumberFormat="1" applyFont="1" applyBorder="1" applyAlignment="1">
      <alignment horizontal="right"/>
    </xf>
    <xf numFmtId="49" fontId="5" fillId="0" borderId="122" xfId="0" applyNumberFormat="1" applyFont="1" applyBorder="1"/>
    <xf numFmtId="0" fontId="0" fillId="0" borderId="120" xfId="0" applyFont="1" applyBorder="1"/>
    <xf numFmtId="0" fontId="8" fillId="0" borderId="120" xfId="0" applyFont="1" applyBorder="1" applyAlignment="1">
      <alignment wrapText="1"/>
    </xf>
    <xf numFmtId="49" fontId="8" fillId="0" borderId="123" xfId="0" applyNumberFormat="1" applyFont="1" applyBorder="1" applyAlignment="1">
      <alignment horizontal="center"/>
    </xf>
    <xf numFmtId="0" fontId="17" fillId="0" borderId="121" xfId="0" applyFont="1" applyBorder="1"/>
    <xf numFmtId="49" fontId="33" fillId="0" borderId="122" xfId="0" applyNumberFormat="1" applyFont="1" applyBorder="1" applyAlignment="1">
      <alignment horizontal="left"/>
    </xf>
    <xf numFmtId="1" fontId="9" fillId="0" borderId="109" xfId="2" applyNumberFormat="1" applyFont="1" applyFill="1" applyBorder="1" applyAlignment="1">
      <alignment horizontal="center"/>
    </xf>
    <xf numFmtId="1" fontId="9" fillId="0" borderId="127" xfId="2" applyNumberFormat="1" applyFont="1" applyFill="1" applyBorder="1" applyAlignment="1">
      <alignment horizontal="center"/>
    </xf>
    <xf numFmtId="9" fontId="8" fillId="0" borderId="127" xfId="2" applyNumberFormat="1" applyFont="1" applyFill="1" applyBorder="1" applyAlignment="1">
      <alignment horizontal="center"/>
    </xf>
    <xf numFmtId="167" fontId="8" fillId="0" borderId="127" xfId="2" applyNumberFormat="1" applyFont="1" applyFill="1" applyBorder="1" applyAlignment="1">
      <alignment horizontal="center"/>
    </xf>
    <xf numFmtId="1" fontId="9" fillId="0" borderId="120" xfId="2" applyNumberFormat="1" applyFont="1" applyFill="1" applyBorder="1" applyAlignment="1">
      <alignment horizontal="center"/>
    </xf>
    <xf numFmtId="1" fontId="9" fillId="0" borderId="108" xfId="2" applyNumberFormat="1" applyFont="1" applyFill="1" applyBorder="1" applyAlignment="1">
      <alignment horizontal="center"/>
    </xf>
    <xf numFmtId="1" fontId="9" fillId="0" borderId="110" xfId="2" applyNumberFormat="1" applyFont="1" applyFill="1" applyBorder="1" applyAlignment="1">
      <alignment horizontal="center"/>
    </xf>
    <xf numFmtId="0" fontId="8" fillId="0" borderId="129" xfId="0" applyFont="1" applyBorder="1"/>
    <xf numFmtId="0" fontId="17" fillId="0" borderId="130" xfId="0" applyFont="1" applyBorder="1" applyAlignment="1">
      <alignment horizontal="center" vertical="center"/>
    </xf>
    <xf numFmtId="0" fontId="5" fillId="0" borderId="109" xfId="0" applyFont="1" applyBorder="1" applyAlignment="1">
      <alignment horizontal="center" vertical="center"/>
    </xf>
    <xf numFmtId="38" fontId="0" fillId="0" borderId="109" xfId="1" applyNumberFormat="1" applyFont="1" applyBorder="1" applyAlignment="1">
      <alignment horizontal="center"/>
    </xf>
    <xf numFmtId="38" fontId="0" fillId="0" borderId="109" xfId="1" applyNumberFormat="1" applyFont="1" applyFill="1" applyBorder="1" applyAlignment="1">
      <alignment horizontal="center"/>
    </xf>
    <xf numFmtId="38" fontId="3" fillId="0" borderId="109" xfId="1" applyNumberFormat="1" applyFont="1" applyFill="1" applyBorder="1" applyAlignment="1">
      <alignment horizontal="right"/>
    </xf>
    <xf numFmtId="38" fontId="3" fillId="0" borderId="109" xfId="1" applyNumberFormat="1" applyFont="1" applyBorder="1" applyAlignment="1">
      <alignment horizontal="right" vertical="center"/>
    </xf>
    <xf numFmtId="38" fontId="3" fillId="0" borderId="109" xfId="0" applyNumberFormat="1" applyFont="1" applyBorder="1"/>
    <xf numFmtId="164" fontId="0" fillId="0" borderId="109" xfId="1" applyNumberFormat="1" applyFont="1" applyBorder="1" applyAlignment="1">
      <alignment horizontal="center"/>
    </xf>
    <xf numFmtId="38" fontId="0" fillId="11" borderId="109" xfId="1" applyNumberFormat="1" applyFont="1" applyFill="1" applyBorder="1" applyAlignment="1">
      <alignment horizontal="center"/>
    </xf>
    <xf numFmtId="164" fontId="0" fillId="0" borderId="0" xfId="2" applyNumberFormat="1" applyFont="1" applyFill="1" applyBorder="1" applyAlignment="1"/>
    <xf numFmtId="38" fontId="0" fillId="0" borderId="89" xfId="1" applyNumberFormat="1" applyFont="1" applyFill="1" applyBorder="1" applyAlignment="1">
      <alignment horizontal="center"/>
    </xf>
    <xf numFmtId="49" fontId="10" fillId="0" borderId="133" xfId="0" applyNumberFormat="1" applyFont="1" applyBorder="1" applyAlignment="1">
      <alignment horizontal="center"/>
    </xf>
    <xf numFmtId="2" fontId="0" fillId="0" borderId="109" xfId="0" applyNumberFormat="1" applyFill="1" applyBorder="1" applyAlignment="1">
      <alignment horizontal="center"/>
    </xf>
    <xf numFmtId="0" fontId="0" fillId="0" borderId="109" xfId="0" applyFill="1" applyBorder="1" applyAlignment="1">
      <alignment horizontal="center"/>
    </xf>
    <xf numFmtId="0" fontId="0" fillId="0" borderId="110" xfId="0" applyFill="1" applyBorder="1" applyAlignment="1">
      <alignment horizontal="center"/>
    </xf>
    <xf numFmtId="2" fontId="0" fillId="0" borderId="110" xfId="0" applyNumberFormat="1" applyFill="1" applyBorder="1" applyAlignment="1">
      <alignment horizontal="center"/>
    </xf>
    <xf numFmtId="169" fontId="8" fillId="0" borderId="108" xfId="1" applyNumberFormat="1" applyFont="1" applyFill="1" applyBorder="1" applyAlignment="1">
      <alignment horizontal="center"/>
    </xf>
    <xf numFmtId="0" fontId="9" fillId="0" borderId="105" xfId="0" applyFont="1" applyBorder="1" applyAlignment="1"/>
    <xf numFmtId="0" fontId="9" fillId="0" borderId="108" xfId="0" applyFont="1" applyBorder="1" applyAlignment="1">
      <alignment horizontal="center" vertical="center" wrapText="1"/>
    </xf>
    <xf numFmtId="0" fontId="8" fillId="0" borderId="108" xfId="0" applyFont="1" applyBorder="1" applyAlignment="1">
      <alignment horizontal="center"/>
    </xf>
    <xf numFmtId="38" fontId="8" fillId="0" borderId="108" xfId="1" applyNumberFormat="1" applyFont="1" applyFill="1" applyBorder="1" applyAlignment="1">
      <alignment horizontal="center"/>
    </xf>
    <xf numFmtId="2" fontId="8" fillId="0" borderId="108" xfId="1" applyNumberFormat="1" applyFont="1" applyFill="1" applyBorder="1" applyAlignment="1">
      <alignment horizontal="center"/>
    </xf>
    <xf numFmtId="2" fontId="33" fillId="0" borderId="109" xfId="0" applyNumberFormat="1" applyFont="1" applyFill="1" applyBorder="1" applyAlignment="1">
      <alignment horizontal="center"/>
    </xf>
    <xf numFmtId="39" fontId="8" fillId="0" borderId="108" xfId="1" applyNumberFormat="1" applyFont="1" applyFill="1" applyBorder="1" applyAlignment="1">
      <alignment horizontal="center"/>
    </xf>
    <xf numFmtId="40" fontId="8" fillId="0" borderId="108" xfId="1" applyNumberFormat="1" applyFont="1" applyFill="1" applyBorder="1" applyAlignment="1">
      <alignment horizontal="center"/>
    </xf>
    <xf numFmtId="40" fontId="8" fillId="0" borderId="110" xfId="1" applyNumberFormat="1" applyFont="1" applyFill="1" applyBorder="1" applyAlignment="1">
      <alignment horizontal="center"/>
    </xf>
    <xf numFmtId="0" fontId="15" fillId="18" borderId="109" xfId="0" applyFont="1" applyFill="1" applyBorder="1" applyAlignment="1">
      <alignment horizontal="center"/>
    </xf>
    <xf numFmtId="38" fontId="8" fillId="0" borderId="127" xfId="1" applyNumberFormat="1" applyFont="1" applyFill="1" applyBorder="1" applyAlignment="1">
      <alignment horizontal="center"/>
    </xf>
    <xf numFmtId="175" fontId="8" fillId="0" borderId="127" xfId="1" applyNumberFormat="1" applyFont="1" applyFill="1" applyBorder="1" applyAlignment="1">
      <alignment horizontal="center" vertical="center"/>
    </xf>
    <xf numFmtId="175" fontId="8" fillId="0" borderId="127" xfId="1" applyNumberFormat="1" applyFont="1" applyFill="1" applyBorder="1" applyAlignment="1">
      <alignment horizontal="center"/>
    </xf>
    <xf numFmtId="176" fontId="8" fillId="0" borderId="127" xfId="2" applyNumberFormat="1" applyFont="1" applyFill="1" applyBorder="1" applyAlignment="1">
      <alignment horizontal="center" vertical="center"/>
    </xf>
    <xf numFmtId="0" fontId="53" fillId="0" borderId="140" xfId="0" applyFont="1" applyBorder="1"/>
    <xf numFmtId="0" fontId="8" fillId="0" borderId="140" xfId="0" applyFont="1" applyBorder="1"/>
    <xf numFmtId="0" fontId="0" fillId="0" borderId="140" xfId="0" applyBorder="1"/>
    <xf numFmtId="0" fontId="0" fillId="0" borderId="140" xfId="0" applyBorder="1" applyAlignment="1">
      <alignment wrapText="1"/>
    </xf>
    <xf numFmtId="2" fontId="0" fillId="8" borderId="109" xfId="0" applyNumberFormat="1" applyFill="1" applyBorder="1" applyAlignment="1">
      <alignment horizontal="center" vertical="center"/>
    </xf>
    <xf numFmtId="0" fontId="0" fillId="9" borderId="109" xfId="0" applyFill="1" applyBorder="1" applyAlignment="1">
      <alignment horizontal="center" vertical="center"/>
    </xf>
    <xf numFmtId="2" fontId="0" fillId="10" borderId="110" xfId="0" applyNumberFormat="1" applyFill="1" applyBorder="1" applyAlignment="1">
      <alignment horizontal="center" vertical="center"/>
    </xf>
    <xf numFmtId="173" fontId="9" fillId="0" borderId="108" xfId="1" applyNumberFormat="1" applyFont="1" applyFill="1" applyBorder="1" applyAlignment="1">
      <alignment horizontal="center"/>
    </xf>
    <xf numFmtId="175" fontId="8" fillId="0" borderId="108" xfId="1" applyNumberFormat="1" applyFont="1" applyFill="1" applyBorder="1" applyAlignment="1">
      <alignment horizontal="center"/>
    </xf>
    <xf numFmtId="175" fontId="8" fillId="0" borderId="108" xfId="2" applyNumberFormat="1" applyFont="1" applyFill="1" applyBorder="1" applyAlignment="1">
      <alignment horizontal="center" vertical="center"/>
    </xf>
    <xf numFmtId="175" fontId="8" fillId="0" borderId="108" xfId="1" applyNumberFormat="1" applyFont="1" applyFill="1" applyBorder="1" applyAlignment="1">
      <alignment horizontal="center" vertical="center"/>
    </xf>
    <xf numFmtId="0" fontId="20" fillId="0" borderId="109" xfId="0" applyFont="1" applyBorder="1" applyAlignment="1">
      <alignment horizontal="center" wrapText="1"/>
    </xf>
    <xf numFmtId="164" fontId="3" fillId="0" borderId="110" xfId="1" applyNumberFormat="1" applyFont="1" applyBorder="1" applyAlignment="1">
      <alignment horizontal="center" wrapText="1"/>
    </xf>
    <xf numFmtId="0" fontId="0" fillId="0" borderId="108" xfId="0" applyBorder="1"/>
    <xf numFmtId="3" fontId="39" fillId="0" borderId="109" xfId="0" applyNumberFormat="1" applyFont="1" applyBorder="1" applyAlignment="1" applyProtection="1">
      <alignment horizontal="center" vertical="center"/>
      <protection locked="0"/>
    </xf>
    <xf numFmtId="164" fontId="0" fillId="0" borderId="110" xfId="1" applyNumberFormat="1" applyFont="1" applyBorder="1" applyAlignment="1">
      <alignment horizontal="center"/>
    </xf>
    <xf numFmtId="164" fontId="0" fillId="0" borderId="110" xfId="1" applyNumberFormat="1" applyFont="1" applyFill="1" applyBorder="1" applyAlignment="1">
      <alignment horizontal="center"/>
    </xf>
    <xf numFmtId="0" fontId="0" fillId="0" borderId="109" xfId="0" applyBorder="1"/>
    <xf numFmtId="3" fontId="29" fillId="0" borderId="109" xfId="0" applyNumberFormat="1" applyFont="1" applyBorder="1" applyAlignment="1" applyProtection="1">
      <alignment horizontal="center" vertical="center"/>
      <protection locked="0"/>
    </xf>
    <xf numFmtId="164" fontId="0" fillId="0" borderId="109" xfId="1" applyNumberFormat="1" applyFont="1" applyFill="1" applyBorder="1"/>
    <xf numFmtId="0" fontId="20" fillId="0" borderId="109" xfId="0" applyFont="1" applyBorder="1" applyAlignment="1">
      <alignment horizontal="center"/>
    </xf>
    <xf numFmtId="0" fontId="20" fillId="0" borderId="109" xfId="0" applyFont="1" applyBorder="1" applyAlignment="1">
      <alignment horizontal="center" vertical="center" wrapText="1"/>
    </xf>
    <xf numFmtId="0" fontId="17" fillId="0" borderId="109" xfId="0" applyFont="1" applyBorder="1" applyAlignment="1">
      <alignment horizontal="center"/>
    </xf>
    <xf numFmtId="38" fontId="0" fillId="0" borderId="110" xfId="1" applyNumberFormat="1" applyFont="1" applyFill="1" applyBorder="1"/>
    <xf numFmtId="0" fontId="40" fillId="0" borderId="109" xfId="0" applyFont="1" applyBorder="1" applyAlignment="1">
      <alignment horizontal="center"/>
    </xf>
    <xf numFmtId="164" fontId="3" fillId="0" borderId="109" xfId="1" applyNumberFormat="1" applyFont="1" applyBorder="1"/>
    <xf numFmtId="164" fontId="3" fillId="0" borderId="110" xfId="1" applyNumberFormat="1" applyFont="1" applyBorder="1"/>
    <xf numFmtId="164" fontId="0" fillId="0" borderId="109" xfId="1" applyNumberFormat="1" applyFont="1" applyBorder="1"/>
    <xf numFmtId="164" fontId="0" fillId="0" borderId="110" xfId="1" applyNumberFormat="1" applyFont="1" applyBorder="1"/>
    <xf numFmtId="0" fontId="20" fillId="0" borderId="109" xfId="0" applyFont="1" applyBorder="1" applyAlignment="1">
      <alignment horizontal="center" vertical="center"/>
    </xf>
    <xf numFmtId="0" fontId="0" fillId="0" borderId="109" xfId="0" applyBorder="1" applyAlignment="1">
      <alignment vertical="center"/>
    </xf>
    <xf numFmtId="37" fontId="20" fillId="0" borderId="109" xfId="1" applyNumberFormat="1" applyFont="1" applyFill="1" applyBorder="1" applyAlignment="1">
      <alignment horizontal="center"/>
    </xf>
    <xf numFmtId="164" fontId="3" fillId="0" borderId="109" xfId="1" applyNumberFormat="1" applyFont="1" applyBorder="1" applyAlignment="1">
      <alignment horizontal="right"/>
    </xf>
    <xf numFmtId="164" fontId="3" fillId="0" borderId="110" xfId="1" applyNumberFormat="1" applyFont="1" applyBorder="1" applyAlignment="1">
      <alignment horizontal="right"/>
    </xf>
    <xf numFmtId="0" fontId="4" fillId="0" borderId="108" xfId="0" applyFont="1" applyBorder="1"/>
    <xf numFmtId="38" fontId="3" fillId="0" borderId="109" xfId="1" applyNumberFormat="1" applyFont="1" applyBorder="1" applyAlignment="1">
      <alignment horizontal="right"/>
    </xf>
    <xf numFmtId="38" fontId="3" fillId="0" borderId="110" xfId="1" applyNumberFormat="1" applyFont="1" applyBorder="1" applyAlignment="1">
      <alignment horizontal="right"/>
    </xf>
    <xf numFmtId="38" fontId="2" fillId="0" borderId="110" xfId="1" applyNumberFormat="1" applyFont="1" applyFill="1" applyBorder="1"/>
    <xf numFmtId="38" fontId="0" fillId="0" borderId="110" xfId="1" applyNumberFormat="1" applyFont="1" applyFill="1" applyBorder="1" applyAlignment="1">
      <alignment horizontal="center"/>
    </xf>
    <xf numFmtId="38" fontId="0" fillId="0" borderId="110" xfId="1" applyNumberFormat="1" applyFont="1" applyFill="1" applyBorder="1" applyAlignment="1"/>
    <xf numFmtId="164" fontId="28" fillId="0" borderId="110" xfId="1" applyNumberFormat="1" applyFont="1" applyFill="1" applyBorder="1" applyAlignment="1">
      <alignment horizontal="center"/>
    </xf>
    <xf numFmtId="38" fontId="3" fillId="0" borderId="109" xfId="1" applyNumberFormat="1" applyFont="1" applyFill="1" applyBorder="1"/>
    <xf numFmtId="38" fontId="3" fillId="0" borderId="110" xfId="1" applyNumberFormat="1" applyFont="1" applyFill="1" applyBorder="1"/>
    <xf numFmtId="0" fontId="0" fillId="0" borderId="111" xfId="0" applyBorder="1"/>
    <xf numFmtId="0" fontId="20" fillId="0" borderId="112" xfId="0" applyFont="1" applyBorder="1" applyAlignment="1">
      <alignment horizontal="center"/>
    </xf>
    <xf numFmtId="38" fontId="3" fillId="0" borderId="112" xfId="1" applyNumberFormat="1" applyFont="1" applyFill="1" applyBorder="1" applyAlignment="1"/>
    <xf numFmtId="38" fontId="3" fillId="0" borderId="113" xfId="1" applyNumberFormat="1" applyFont="1" applyFill="1" applyBorder="1" applyAlignment="1"/>
    <xf numFmtId="0" fontId="0" fillId="0" borderId="122" xfId="0" applyBorder="1"/>
    <xf numFmtId="0" fontId="0" fillId="0" borderId="120" xfId="0" applyBorder="1"/>
    <xf numFmtId="0" fontId="0" fillId="0" borderId="120" xfId="0" applyBorder="1" applyAlignment="1">
      <alignment horizontal="left"/>
    </xf>
    <xf numFmtId="0" fontId="3" fillId="0" borderId="120" xfId="0" applyFont="1" applyBorder="1" applyAlignment="1">
      <alignment horizontal="right"/>
    </xf>
    <xf numFmtId="0" fontId="0" fillId="0" borderId="120" xfId="0" applyBorder="1" applyAlignment="1">
      <alignment vertical="center"/>
    </xf>
    <xf numFmtId="0" fontId="0" fillId="0" borderId="120" xfId="0" applyFill="1" applyBorder="1" applyAlignment="1">
      <alignment vertical="center"/>
    </xf>
    <xf numFmtId="0" fontId="4" fillId="0" borderId="122" xfId="0" applyFont="1" applyBorder="1"/>
    <xf numFmtId="0" fontId="0" fillId="0" borderId="123" xfId="0" applyBorder="1"/>
    <xf numFmtId="164" fontId="0" fillId="0" borderId="109" xfId="1" applyNumberFormat="1" applyFont="1" applyFill="1" applyBorder="1" applyAlignment="1">
      <alignment horizontal="right"/>
    </xf>
    <xf numFmtId="164" fontId="0" fillId="0" borderId="110" xfId="1" applyNumberFormat="1" applyFont="1" applyFill="1" applyBorder="1" applyAlignment="1">
      <alignment horizontal="right"/>
    </xf>
    <xf numFmtId="164" fontId="0" fillId="0" borderId="109" xfId="1" applyNumberFormat="1" applyFont="1" applyFill="1" applyBorder="1" applyAlignment="1"/>
    <xf numFmtId="164" fontId="0" fillId="0" borderId="110" xfId="1" applyNumberFormat="1" applyFont="1" applyFill="1" applyBorder="1" applyAlignment="1"/>
    <xf numFmtId="0" fontId="40" fillId="0" borderId="112" xfId="0" applyFont="1" applyBorder="1" applyAlignment="1">
      <alignment horizontal="center"/>
    </xf>
    <xf numFmtId="164" fontId="0" fillId="0" borderId="112" xfId="1" applyNumberFormat="1" applyFont="1" applyFill="1" applyBorder="1" applyAlignment="1"/>
    <xf numFmtId="164" fontId="0" fillId="0" borderId="113" xfId="1" applyNumberFormat="1" applyFont="1" applyFill="1" applyBorder="1" applyAlignment="1"/>
    <xf numFmtId="0" fontId="0" fillId="0" borderId="106" xfId="0" applyBorder="1"/>
    <xf numFmtId="0" fontId="3" fillId="0" borderId="107" xfId="0" applyFont="1" applyBorder="1" applyAlignment="1">
      <alignment horizontal="center" vertical="center"/>
    </xf>
    <xf numFmtId="164" fontId="0" fillId="3" borderId="113" xfId="0" applyNumberFormat="1" applyFill="1" applyBorder="1"/>
    <xf numFmtId="0" fontId="0" fillId="3" borderId="121" xfId="0" applyFont="1" applyFill="1" applyBorder="1" applyAlignment="1">
      <alignment horizontal="right"/>
    </xf>
    <xf numFmtId="0" fontId="3" fillId="0" borderId="106" xfId="0" applyFont="1" applyBorder="1" applyAlignment="1"/>
    <xf numFmtId="164" fontId="0" fillId="0" borderId="110" xfId="1" applyNumberFormat="1" applyFont="1" applyFill="1" applyBorder="1"/>
    <xf numFmtId="164" fontId="0" fillId="3" borderId="113" xfId="0" applyNumberFormat="1" applyFill="1" applyBorder="1" applyAlignment="1">
      <alignment vertical="center"/>
    </xf>
    <xf numFmtId="0" fontId="0" fillId="0" borderId="120" xfId="0" applyBorder="1" applyAlignment="1">
      <alignment horizontal="right" wrapText="1"/>
    </xf>
    <xf numFmtId="0" fontId="0" fillId="3" borderId="121" xfId="0" applyFill="1" applyBorder="1" applyAlignment="1">
      <alignment horizontal="right" vertical="center"/>
    </xf>
    <xf numFmtId="0" fontId="0" fillId="0" borderId="94" xfId="0" applyBorder="1" applyAlignment="1"/>
    <xf numFmtId="0" fontId="0" fillId="3" borderId="94" xfId="0" applyFill="1" applyBorder="1"/>
    <xf numFmtId="0" fontId="0" fillId="3" borderId="97" xfId="0" applyFill="1" applyBorder="1"/>
    <xf numFmtId="0" fontId="14" fillId="0" borderId="94" xfId="0" applyFont="1" applyBorder="1" applyAlignment="1">
      <alignment vertical="center"/>
    </xf>
    <xf numFmtId="0" fontId="14" fillId="0" borderId="97" xfId="0" applyFont="1" applyBorder="1" applyAlignment="1">
      <alignment vertical="center"/>
    </xf>
    <xf numFmtId="0" fontId="3" fillId="3" borderId="97" xfId="0" applyFont="1" applyFill="1" applyBorder="1" applyAlignment="1">
      <alignment horizontal="right"/>
    </xf>
    <xf numFmtId="0" fontId="0" fillId="6" borderId="131" xfId="0" applyFill="1" applyBorder="1"/>
    <xf numFmtId="0" fontId="9" fillId="0" borderId="105" xfId="0" applyFont="1" applyBorder="1"/>
    <xf numFmtId="0" fontId="3" fillId="0" borderId="107" xfId="0" applyFont="1" applyBorder="1" applyAlignment="1">
      <alignment horizontal="center"/>
    </xf>
    <xf numFmtId="164" fontId="0" fillId="10" borderId="110" xfId="1" applyNumberFormat="1" applyFont="1" applyFill="1" applyBorder="1"/>
    <xf numFmtId="164" fontId="0" fillId="10" borderId="113" xfId="1" applyNumberFormat="1" applyFont="1" applyFill="1" applyBorder="1"/>
    <xf numFmtId="0" fontId="0" fillId="10" borderId="120" xfId="0" applyFill="1" applyBorder="1" applyAlignment="1">
      <alignment horizontal="right"/>
    </xf>
    <xf numFmtId="0" fontId="9" fillId="0" borderId="122" xfId="0" applyFont="1" applyBorder="1"/>
    <xf numFmtId="0" fontId="0" fillId="0" borderId="120" xfId="0" applyFill="1" applyBorder="1"/>
    <xf numFmtId="0" fontId="0" fillId="10" borderId="121" xfId="0" applyFill="1" applyBorder="1" applyAlignment="1">
      <alignment horizontal="right"/>
    </xf>
    <xf numFmtId="164" fontId="8" fillId="10" borderId="113" xfId="1" applyNumberFormat="1" applyFont="1" applyFill="1" applyBorder="1"/>
    <xf numFmtId="0" fontId="9" fillId="0" borderId="124" xfId="0" applyFont="1" applyBorder="1"/>
    <xf numFmtId="0" fontId="0" fillId="0" borderId="119" xfId="0" applyBorder="1"/>
    <xf numFmtId="164" fontId="5" fillId="0" borderId="0" xfId="1" applyNumberFormat="1" applyFont="1" applyBorder="1" applyAlignment="1">
      <alignment horizontal="center" vertical="center" wrapText="1"/>
    </xf>
    <xf numFmtId="173" fontId="0" fillId="0" borderId="0" xfId="1" applyNumberFormat="1" applyFont="1" applyBorder="1" applyAlignment="1">
      <alignment horizontal="center"/>
    </xf>
    <xf numFmtId="38" fontId="18" fillId="0" borderId="0" xfId="1" applyNumberFormat="1" applyFont="1" applyFill="1" applyBorder="1" applyAlignment="1">
      <alignment horizontal="right"/>
    </xf>
    <xf numFmtId="38" fontId="0" fillId="0" borderId="0" xfId="1" applyNumberFormat="1" applyFont="1" applyFill="1" applyBorder="1" applyAlignment="1">
      <alignment horizontal="right"/>
    </xf>
    <xf numFmtId="0" fontId="7" fillId="0" borderId="108" xfId="0" applyFont="1" applyBorder="1"/>
    <xf numFmtId="0" fontId="0" fillId="0" borderId="112" xfId="0" applyBorder="1"/>
    <xf numFmtId="38" fontId="1" fillId="0" borderId="109" xfId="1" applyNumberFormat="1" applyFont="1" applyBorder="1"/>
    <xf numFmtId="38" fontId="3" fillId="0" borderId="110" xfId="1" applyNumberFormat="1" applyFont="1" applyBorder="1"/>
    <xf numFmtId="38" fontId="1" fillId="0" borderId="109" xfId="0" applyNumberFormat="1" applyFont="1" applyBorder="1"/>
    <xf numFmtId="38" fontId="1" fillId="0" borderId="110" xfId="0" applyNumberFormat="1" applyFont="1" applyBorder="1"/>
    <xf numFmtId="38" fontId="1" fillId="0" borderId="109" xfId="1" applyNumberFormat="1" applyFont="1" applyFill="1" applyBorder="1"/>
    <xf numFmtId="38" fontId="1" fillId="0" borderId="109" xfId="0" applyNumberFormat="1" applyFont="1" applyFill="1" applyBorder="1"/>
    <xf numFmtId="38" fontId="1" fillId="0" borderId="110" xfId="0" applyNumberFormat="1" applyFont="1" applyFill="1" applyBorder="1"/>
    <xf numFmtId="38" fontId="25" fillId="0" borderId="109" xfId="1" applyNumberFormat="1" applyFont="1" applyFill="1" applyBorder="1"/>
    <xf numFmtId="0" fontId="1" fillId="0" borderId="109" xfId="0" applyFont="1" applyFill="1" applyBorder="1"/>
    <xf numFmtId="38" fontId="3" fillId="13" borderId="110" xfId="0" applyNumberFormat="1" applyFont="1" applyFill="1" applyBorder="1"/>
    <xf numFmtId="164" fontId="3" fillId="0" borderId="109" xfId="1" applyNumberFormat="1" applyFont="1" applyBorder="1" applyAlignment="1">
      <alignment horizontal="center" vertical="center"/>
    </xf>
    <xf numFmtId="38" fontId="0" fillId="0" borderId="109" xfId="1" applyNumberFormat="1" applyFont="1" applyBorder="1" applyAlignment="1">
      <alignment horizontal="center" vertical="center"/>
    </xf>
    <xf numFmtId="0" fontId="5" fillId="15" borderId="108" xfId="0" applyFont="1" applyFill="1" applyBorder="1" applyAlignment="1">
      <alignment horizontal="center"/>
    </xf>
    <xf numFmtId="0" fontId="5" fillId="0" borderId="110" xfId="0" applyFont="1" applyBorder="1" applyAlignment="1">
      <alignment horizontal="center" vertical="center"/>
    </xf>
    <xf numFmtId="38" fontId="0" fillId="0" borderId="110" xfId="1" applyNumberFormat="1" applyFont="1" applyBorder="1" applyAlignment="1">
      <alignment horizontal="center"/>
    </xf>
    <xf numFmtId="0" fontId="3" fillId="0" borderId="108" xfId="0" applyFont="1" applyBorder="1" applyAlignment="1">
      <alignment horizontal="right"/>
    </xf>
    <xf numFmtId="38" fontId="3" fillId="0" borderId="110" xfId="1" applyNumberFormat="1" applyFont="1" applyFill="1" applyBorder="1" applyAlignment="1">
      <alignment horizontal="right"/>
    </xf>
    <xf numFmtId="0" fontId="0" fillId="0" borderId="108" xfId="0" applyBorder="1" applyAlignment="1">
      <alignment horizontal="left"/>
    </xf>
    <xf numFmtId="38" fontId="3" fillId="0" borderId="110" xfId="1" applyNumberFormat="1" applyFont="1" applyBorder="1" applyAlignment="1">
      <alignment horizontal="right" vertical="center"/>
    </xf>
    <xf numFmtId="0" fontId="0" fillId="0" borderId="108" xfId="0" applyFont="1" applyBorder="1" applyAlignment="1">
      <alignment horizontal="left"/>
    </xf>
    <xf numFmtId="0" fontId="3" fillId="0" borderId="108" xfId="0" applyFont="1" applyBorder="1" applyAlignment="1">
      <alignment horizontal="right" wrapText="1"/>
    </xf>
    <xf numFmtId="38" fontId="3" fillId="0" borderId="110" xfId="0" applyNumberFormat="1" applyFont="1" applyBorder="1"/>
    <xf numFmtId="0" fontId="0" fillId="0" borderId="108" xfId="0" applyBorder="1" applyAlignment="1">
      <alignment horizontal="left" vertical="center" wrapText="1"/>
    </xf>
    <xf numFmtId="164" fontId="3" fillId="0" borderId="110" xfId="1" applyNumberFormat="1" applyFont="1" applyBorder="1" applyAlignment="1">
      <alignment horizontal="center" vertical="center"/>
    </xf>
    <xf numFmtId="0" fontId="0" fillId="0" borderId="108" xfId="0" applyFont="1" applyBorder="1" applyAlignment="1">
      <alignment wrapText="1"/>
    </xf>
    <xf numFmtId="38" fontId="0" fillId="0" borderId="110" xfId="1" applyNumberFormat="1" applyFont="1" applyBorder="1" applyAlignment="1">
      <alignment horizontal="center" vertical="center"/>
    </xf>
    <xf numFmtId="0" fontId="0" fillId="11" borderId="108" xfId="0" applyFont="1" applyFill="1" applyBorder="1" applyAlignment="1">
      <alignment vertical="center" wrapText="1"/>
    </xf>
    <xf numFmtId="38" fontId="0" fillId="11" borderId="110" xfId="1" applyNumberFormat="1" applyFont="1" applyFill="1" applyBorder="1" applyAlignment="1">
      <alignment horizontal="center"/>
    </xf>
    <xf numFmtId="0" fontId="0" fillId="11" borderId="111" xfId="0" applyFill="1" applyBorder="1" applyAlignment="1">
      <alignment wrapText="1"/>
    </xf>
    <xf numFmtId="38" fontId="0" fillId="11" borderId="112" xfId="1" applyNumberFormat="1" applyFont="1" applyFill="1" applyBorder="1" applyAlignment="1">
      <alignment horizontal="center" vertical="center"/>
    </xf>
    <xf numFmtId="38" fontId="0" fillId="11" borderId="113" xfId="1" applyNumberFormat="1" applyFont="1" applyFill="1" applyBorder="1" applyAlignment="1">
      <alignment horizontal="center" vertical="center"/>
    </xf>
    <xf numFmtId="164" fontId="3" fillId="0" borderId="110" xfId="1" applyNumberFormat="1" applyFont="1" applyFill="1" applyBorder="1" applyAlignment="1">
      <alignment horizontal="center" vertical="center" wrapText="1"/>
    </xf>
    <xf numFmtId="164" fontId="0" fillId="0" borderId="113" xfId="1" applyNumberFormat="1" applyFont="1" applyFill="1" applyBorder="1"/>
    <xf numFmtId="164" fontId="0" fillId="0" borderId="110" xfId="0" applyNumberFormat="1" applyBorder="1"/>
    <xf numFmtId="164" fontId="0" fillId="0" borderId="113" xfId="0" applyNumberFormat="1" applyBorder="1"/>
    <xf numFmtId="0" fontId="3" fillId="0" borderId="122" xfId="0" applyFont="1" applyBorder="1"/>
    <xf numFmtId="0" fontId="3" fillId="0" borderId="120" xfId="0" applyFont="1" applyBorder="1"/>
    <xf numFmtId="164" fontId="0" fillId="0" borderId="120" xfId="0" applyNumberFormat="1" applyBorder="1" applyAlignment="1">
      <alignment vertical="center"/>
    </xf>
    <xf numFmtId="164" fontId="0" fillId="0" borderId="120" xfId="0" applyNumberFormat="1" applyBorder="1" applyAlignment="1">
      <alignment horizontal="right" vertical="center"/>
    </xf>
    <xf numFmtId="0" fontId="4" fillId="0" borderId="120" xfId="0" applyFont="1" applyBorder="1"/>
    <xf numFmtId="0" fontId="0" fillId="0" borderId="121" xfId="0" applyBorder="1"/>
    <xf numFmtId="167" fontId="0" fillId="0" borderId="122" xfId="2" applyNumberFormat="1" applyFont="1" applyFill="1" applyBorder="1" applyAlignment="1">
      <alignment horizontal="center"/>
    </xf>
    <xf numFmtId="164" fontId="0" fillId="0" borderId="141" xfId="1" applyNumberFormat="1" applyFont="1" applyFill="1" applyBorder="1" applyAlignment="1">
      <alignment horizontal="center"/>
    </xf>
    <xf numFmtId="167" fontId="0" fillId="0" borderId="133" xfId="2" applyNumberFormat="1" applyFont="1" applyFill="1" applyBorder="1" applyAlignment="1">
      <alignment horizontal="center"/>
    </xf>
    <xf numFmtId="167" fontId="0" fillId="0" borderId="145" xfId="2" applyNumberFormat="1" applyFont="1" applyFill="1" applyBorder="1" applyAlignment="1">
      <alignment horizontal="center"/>
    </xf>
    <xf numFmtId="164" fontId="0" fillId="0" borderId="141" xfId="1" applyNumberFormat="1" applyFont="1" applyFill="1" applyBorder="1" applyAlignment="1"/>
    <xf numFmtId="164" fontId="0" fillId="0" borderId="147" xfId="1" applyNumberFormat="1" applyFont="1" applyFill="1" applyBorder="1" applyAlignment="1"/>
    <xf numFmtId="164" fontId="0" fillId="0" borderId="148" xfId="1" applyNumberFormat="1" applyFont="1" applyFill="1" applyBorder="1" applyAlignment="1"/>
    <xf numFmtId="0" fontId="0" fillId="0" borderId="148" xfId="0" applyBorder="1"/>
    <xf numFmtId="0" fontId="0" fillId="0" borderId="146" xfId="0" applyBorder="1"/>
    <xf numFmtId="164" fontId="0" fillId="0" borderId="109" xfId="1" applyNumberFormat="1" applyFont="1" applyFill="1" applyBorder="1" applyAlignment="1">
      <alignment horizontal="center"/>
    </xf>
    <xf numFmtId="43" fontId="0" fillId="0" borderId="110" xfId="0" applyNumberFormat="1" applyBorder="1"/>
    <xf numFmtId="0" fontId="0" fillId="0" borderId="110" xfId="0" applyBorder="1"/>
    <xf numFmtId="164" fontId="0" fillId="0" borderId="109" xfId="0" applyNumberFormat="1" applyBorder="1"/>
    <xf numFmtId="164" fontId="0" fillId="0" borderId="112" xfId="0" applyNumberFormat="1" applyBorder="1"/>
    <xf numFmtId="43" fontId="0" fillId="0" borderId="113" xfId="0" applyNumberFormat="1" applyBorder="1"/>
    <xf numFmtId="167" fontId="0" fillId="0" borderId="145" xfId="2" applyNumberFormat="1" applyFont="1" applyBorder="1"/>
    <xf numFmtId="167" fontId="0" fillId="0" borderId="133" xfId="2" applyNumberFormat="1" applyFont="1" applyBorder="1"/>
    <xf numFmtId="164" fontId="0" fillId="0" borderId="140" xfId="1" applyNumberFormat="1" applyFont="1" applyBorder="1"/>
    <xf numFmtId="0" fontId="0" fillId="0" borderId="141" xfId="0" applyBorder="1"/>
    <xf numFmtId="167" fontId="0" fillId="0" borderId="122" xfId="2" applyNumberFormat="1" applyFont="1" applyBorder="1"/>
    <xf numFmtId="167" fontId="0" fillId="0" borderId="147" xfId="2" applyNumberFormat="1" applyFont="1" applyBorder="1"/>
    <xf numFmtId="167" fontId="0" fillId="0" borderId="148" xfId="2" applyNumberFormat="1" applyFont="1" applyBorder="1"/>
    <xf numFmtId="0" fontId="3" fillId="0" borderId="0" xfId="0" applyFont="1" applyBorder="1" applyAlignment="1">
      <alignment horizontal="right" wrapText="1"/>
    </xf>
    <xf numFmtId="38" fontId="3" fillId="0" borderId="0" xfId="0" applyNumberFormat="1" applyFont="1" applyBorder="1"/>
    <xf numFmtId="0" fontId="3" fillId="0" borderId="111" xfId="0" applyFont="1" applyBorder="1" applyAlignment="1">
      <alignment horizontal="right" wrapText="1"/>
    </xf>
    <xf numFmtId="164" fontId="3" fillId="0" borderId="112" xfId="1" applyNumberFormat="1" applyFont="1" applyBorder="1" applyAlignment="1">
      <alignment horizontal="center" vertical="center"/>
    </xf>
    <xf numFmtId="164" fontId="3" fillId="0" borderId="113" xfId="1" applyNumberFormat="1" applyFont="1" applyBorder="1" applyAlignment="1">
      <alignment horizontal="center" vertical="center"/>
    </xf>
    <xf numFmtId="0" fontId="5" fillId="0" borderId="108" xfId="0" applyFont="1" applyBorder="1" applyAlignment="1">
      <alignment vertical="center"/>
    </xf>
    <xf numFmtId="0" fontId="0" fillId="0" borderId="110" xfId="0" applyBorder="1" applyAlignment="1">
      <alignment horizontal="center" wrapText="1"/>
    </xf>
    <xf numFmtId="0" fontId="5" fillId="0" borderId="127" xfId="0" applyFont="1" applyBorder="1" applyAlignment="1">
      <alignment vertical="center"/>
    </xf>
    <xf numFmtId="0" fontId="5" fillId="0" borderId="140" xfId="0" applyFont="1" applyBorder="1" applyAlignment="1">
      <alignment vertical="center"/>
    </xf>
    <xf numFmtId="0" fontId="7" fillId="2" borderId="122" xfId="0" applyFont="1" applyFill="1" applyBorder="1"/>
    <xf numFmtId="0" fontId="20" fillId="2" borderId="109" xfId="0" applyFont="1" applyFill="1" applyBorder="1" applyAlignment="1">
      <alignment horizontal="center" wrapText="1"/>
    </xf>
    <xf numFmtId="164" fontId="3" fillId="2" borderId="109" xfId="1" applyNumberFormat="1" applyFont="1" applyFill="1" applyBorder="1" applyAlignment="1">
      <alignment horizontal="center" wrapText="1"/>
    </xf>
    <xf numFmtId="164" fontId="3" fillId="2" borderId="110" xfId="1" applyNumberFormat="1" applyFont="1" applyFill="1" applyBorder="1" applyAlignment="1">
      <alignment horizontal="center" wrapText="1"/>
    </xf>
    <xf numFmtId="0" fontId="41" fillId="2" borderId="109" xfId="0" applyFont="1" applyFill="1" applyBorder="1" applyAlignment="1">
      <alignment horizontal="center"/>
    </xf>
    <xf numFmtId="0" fontId="40" fillId="2" borderId="109" xfId="0" applyFont="1" applyFill="1" applyBorder="1" applyAlignment="1">
      <alignment horizontal="center"/>
    </xf>
    <xf numFmtId="0" fontId="17" fillId="0" borderId="15" xfId="0" applyFont="1" applyBorder="1" applyAlignment="1">
      <alignment horizontal="center" vertical="center"/>
    </xf>
    <xf numFmtId="0" fontId="0" fillId="0" borderId="0" xfId="0" applyFill="1" applyBorder="1" applyAlignment="1">
      <alignment horizontal="center" wrapText="1"/>
    </xf>
    <xf numFmtId="0" fontId="0" fillId="0" borderId="0" xfId="0" applyNumberFormat="1" applyFill="1" applyBorder="1"/>
    <xf numFmtId="6" fontId="5" fillId="0" borderId="0" xfId="0" applyNumberFormat="1" applyFont="1" applyFill="1" applyBorder="1" applyAlignment="1">
      <alignment vertical="center"/>
    </xf>
    <xf numFmtId="6" fontId="0" fillId="0" borderId="0" xfId="0" applyNumberFormat="1" applyFill="1" applyBorder="1"/>
    <xf numFmtId="0" fontId="0" fillId="0" borderId="105" xfId="0" applyBorder="1" applyAlignment="1">
      <alignment horizontal="right"/>
    </xf>
    <xf numFmtId="0" fontId="5" fillId="0" borderId="106" xfId="0" applyFont="1" applyBorder="1" applyAlignment="1">
      <alignment horizontal="center"/>
    </xf>
    <xf numFmtId="0" fontId="0" fillId="0" borderId="108" xfId="0" applyBorder="1" applyAlignment="1">
      <alignment horizontal="center" wrapText="1"/>
    </xf>
    <xf numFmtId="0" fontId="0" fillId="0" borderId="109" xfId="0" applyBorder="1" applyAlignment="1">
      <alignment horizontal="center" wrapText="1"/>
    </xf>
    <xf numFmtId="0" fontId="0" fillId="0" borderId="109" xfId="0" applyFill="1" applyBorder="1" applyAlignment="1">
      <alignment horizontal="center" wrapText="1"/>
    </xf>
    <xf numFmtId="6" fontId="0" fillId="0" borderId="109" xfId="0" applyNumberFormat="1" applyBorder="1"/>
    <xf numFmtId="6" fontId="5" fillId="3" borderId="112" xfId="0" applyNumberFormat="1" applyFont="1" applyFill="1" applyBorder="1" applyAlignment="1">
      <alignment vertical="center"/>
    </xf>
    <xf numFmtId="6" fontId="5" fillId="3" borderId="113" xfId="0" applyNumberFormat="1" applyFont="1" applyFill="1" applyBorder="1" applyAlignment="1">
      <alignment vertical="center"/>
    </xf>
    <xf numFmtId="0" fontId="0" fillId="0" borderId="127" xfId="0" applyBorder="1" applyAlignment="1">
      <alignment horizontal="center" wrapText="1"/>
    </xf>
    <xf numFmtId="164" fontId="0" fillId="0" borderId="127" xfId="1" applyNumberFormat="1" applyFont="1" applyFill="1" applyBorder="1"/>
    <xf numFmtId="0" fontId="0" fillId="0" borderId="108" xfId="0" applyFill="1" applyBorder="1" applyAlignment="1">
      <alignment horizontal="center" wrapText="1"/>
    </xf>
    <xf numFmtId="6" fontId="0" fillId="0" borderId="108" xfId="0" applyNumberFormat="1" applyBorder="1"/>
    <xf numFmtId="6" fontId="5" fillId="3" borderId="111" xfId="0" applyNumberFormat="1" applyFont="1" applyFill="1" applyBorder="1" applyAlignment="1">
      <alignment vertical="center"/>
    </xf>
    <xf numFmtId="0" fontId="5" fillId="3" borderId="123" xfId="0" applyFont="1" applyFill="1" applyBorder="1" applyAlignment="1">
      <alignment horizontal="right" vertical="center"/>
    </xf>
    <xf numFmtId="0" fontId="5" fillId="3" borderId="142" xfId="0" applyFont="1" applyFill="1" applyBorder="1" applyAlignment="1">
      <alignment vertical="center"/>
    </xf>
    <xf numFmtId="0" fontId="5" fillId="3" borderId="152" xfId="0" applyFont="1" applyFill="1" applyBorder="1" applyAlignment="1">
      <alignment horizontal="right" vertical="center"/>
    </xf>
    <xf numFmtId="0" fontId="8" fillId="0" borderId="13" xfId="0" applyFont="1" applyBorder="1" applyAlignment="1">
      <alignment vertical="center"/>
    </xf>
    <xf numFmtId="0" fontId="9" fillId="0" borderId="13" xfId="0" applyFont="1" applyBorder="1" applyAlignment="1">
      <alignment vertical="center"/>
    </xf>
    <xf numFmtId="0" fontId="8" fillId="0" borderId="0" xfId="0" applyFont="1" applyBorder="1" applyAlignment="1">
      <alignment wrapText="1"/>
    </xf>
    <xf numFmtId="0" fontId="8" fillId="0" borderId="0" xfId="0" applyFont="1" applyBorder="1" applyAlignment="1"/>
    <xf numFmtId="10" fontId="0" fillId="7" borderId="109" xfId="2" applyNumberFormat="1" applyFont="1" applyFill="1" applyBorder="1" applyProtection="1">
      <protection locked="0"/>
    </xf>
    <xf numFmtId="0" fontId="0" fillId="7" borderId="109" xfId="0" applyFill="1" applyBorder="1" applyProtection="1">
      <protection locked="0"/>
    </xf>
    <xf numFmtId="0" fontId="4" fillId="0" borderId="109" xfId="0" applyFont="1" applyBorder="1" applyAlignment="1">
      <alignment horizontal="center" wrapText="1"/>
    </xf>
    <xf numFmtId="0" fontId="3" fillId="0" borderId="109" xfId="0" applyFont="1" applyBorder="1" applyAlignment="1">
      <alignment horizontal="center" vertical="center" wrapText="1"/>
    </xf>
    <xf numFmtId="41" fontId="0" fillId="0" borderId="109" xfId="1" applyNumberFormat="1" applyFont="1" applyBorder="1"/>
    <xf numFmtId="41" fontId="0" fillId="0" borderId="109" xfId="0" applyNumberFormat="1" applyBorder="1"/>
    <xf numFmtId="41" fontId="0" fillId="0" borderId="112" xfId="1" applyNumberFormat="1" applyFont="1" applyBorder="1"/>
    <xf numFmtId="41" fontId="0" fillId="0" borderId="112" xfId="0" applyNumberFormat="1" applyBorder="1"/>
    <xf numFmtId="0" fontId="0" fillId="0" borderId="153" xfId="0" applyBorder="1" applyAlignment="1" applyProtection="1">
      <alignment horizontal="right"/>
      <protection locked="0"/>
    </xf>
    <xf numFmtId="0" fontId="0" fillId="0" borderId="0" xfId="0" applyBorder="1" applyProtection="1">
      <protection locked="0"/>
    </xf>
    <xf numFmtId="0" fontId="0" fillId="0" borderId="129" xfId="0" applyBorder="1"/>
    <xf numFmtId="8" fontId="0" fillId="0" borderId="153" xfId="0" applyNumberFormat="1" applyBorder="1"/>
    <xf numFmtId="0" fontId="0" fillId="0" borderId="135" xfId="0" applyBorder="1"/>
    <xf numFmtId="0" fontId="0" fillId="0" borderId="138" xfId="0" applyBorder="1"/>
    <xf numFmtId="0" fontId="0" fillId="0" borderId="108" xfId="0" applyBorder="1" applyAlignment="1">
      <alignment horizontal="right" wrapText="1"/>
    </xf>
    <xf numFmtId="0" fontId="3" fillId="0" borderId="109" xfId="0" applyFont="1" applyBorder="1" applyAlignment="1">
      <alignment horizontal="center" vertical="center"/>
    </xf>
    <xf numFmtId="0" fontId="3" fillId="0" borderId="110" xfId="0" applyFont="1" applyFill="1" applyBorder="1" applyAlignment="1">
      <alignment horizontal="center" vertical="center" wrapText="1"/>
    </xf>
    <xf numFmtId="3" fontId="0" fillId="0" borderId="109" xfId="0" applyNumberFormat="1" applyBorder="1" applyAlignment="1">
      <alignment horizontal="center"/>
    </xf>
    <xf numFmtId="3" fontId="0" fillId="0" borderId="110" xfId="0" applyNumberFormat="1" applyBorder="1" applyAlignment="1">
      <alignment horizontal="center"/>
    </xf>
    <xf numFmtId="3" fontId="0" fillId="0" borderId="109" xfId="1" applyNumberFormat="1" applyFont="1" applyFill="1" applyBorder="1" applyAlignment="1">
      <alignment horizontal="center"/>
    </xf>
    <xf numFmtId="9" fontId="0" fillId="0" borderId="109" xfId="2" applyFont="1" applyBorder="1" applyAlignment="1">
      <alignment horizontal="center" vertical="center"/>
    </xf>
    <xf numFmtId="164" fontId="0" fillId="0" borderId="109" xfId="1" applyNumberFormat="1" applyFont="1" applyBorder="1" applyAlignment="1"/>
    <xf numFmtId="40" fontId="0" fillId="0" borderId="109" xfId="1" applyNumberFormat="1" applyFont="1" applyBorder="1" applyAlignment="1">
      <alignment horizontal="center"/>
    </xf>
    <xf numFmtId="9" fontId="0" fillId="0" borderId="110" xfId="2" applyNumberFormat="1" applyFont="1" applyBorder="1" applyAlignment="1">
      <alignment horizontal="center"/>
    </xf>
    <xf numFmtId="9" fontId="0" fillId="0" borderId="110" xfId="2" applyNumberFormat="1" applyFont="1" applyBorder="1"/>
    <xf numFmtId="38" fontId="0" fillId="0" borderId="112" xfId="1" applyNumberFormat="1" applyFont="1" applyBorder="1" applyAlignment="1">
      <alignment horizontal="center"/>
    </xf>
    <xf numFmtId="40" fontId="0" fillId="0" borderId="112" xfId="1" applyNumberFormat="1" applyFont="1" applyBorder="1" applyAlignment="1">
      <alignment horizontal="center"/>
    </xf>
    <xf numFmtId="9" fontId="0" fillId="0" borderId="113" xfId="2" applyNumberFormat="1" applyFont="1" applyBorder="1" applyAlignment="1">
      <alignment horizontal="center"/>
    </xf>
    <xf numFmtId="0" fontId="3" fillId="6" borderId="109" xfId="0" applyFont="1" applyFill="1" applyBorder="1" applyAlignment="1">
      <alignment horizontal="center" vertical="center"/>
    </xf>
    <xf numFmtId="0" fontId="3" fillId="6" borderId="110" xfId="0" applyFont="1" applyFill="1" applyBorder="1" applyAlignment="1">
      <alignment horizontal="center" vertical="center"/>
    </xf>
    <xf numFmtId="3" fontId="9" fillId="6" borderId="108" xfId="0" applyNumberFormat="1" applyFont="1" applyFill="1" applyBorder="1" applyAlignment="1">
      <alignment horizontal="center" vertical="center"/>
    </xf>
    <xf numFmtId="3" fontId="0" fillId="6" borderId="109" xfId="0" applyNumberFormat="1" applyFill="1" applyBorder="1" applyAlignment="1">
      <alignment horizontal="center"/>
    </xf>
    <xf numFmtId="3" fontId="0" fillId="6" borderId="110" xfId="0" applyNumberFormat="1" applyFill="1" applyBorder="1" applyAlignment="1">
      <alignment horizontal="center"/>
    </xf>
    <xf numFmtId="9" fontId="0" fillId="6" borderId="108" xfId="2" applyFont="1" applyFill="1" applyBorder="1" applyAlignment="1">
      <alignment horizontal="center" vertical="center"/>
    </xf>
    <xf numFmtId="0" fontId="0" fillId="6" borderId="109" xfId="0" applyFill="1" applyBorder="1"/>
    <xf numFmtId="0" fontId="0" fillId="6" borderId="110" xfId="0" applyFill="1" applyBorder="1"/>
    <xf numFmtId="164" fontId="0" fillId="6" borderId="108" xfId="1" applyNumberFormat="1" applyFont="1" applyFill="1" applyBorder="1" applyAlignment="1"/>
    <xf numFmtId="38" fontId="0" fillId="6" borderId="109" xfId="1" applyNumberFormat="1" applyFont="1" applyFill="1" applyBorder="1" applyAlignment="1">
      <alignment horizontal="center"/>
    </xf>
    <xf numFmtId="40" fontId="0" fillId="6" borderId="110" xfId="1" applyNumberFormat="1" applyFont="1" applyFill="1" applyBorder="1" applyAlignment="1">
      <alignment horizontal="center"/>
    </xf>
    <xf numFmtId="3" fontId="0" fillId="6" borderId="108" xfId="0" applyNumberFormat="1" applyFill="1" applyBorder="1" applyAlignment="1">
      <alignment horizontal="center"/>
    </xf>
    <xf numFmtId="164" fontId="0" fillId="6" borderId="108" xfId="1" applyNumberFormat="1" applyFont="1" applyFill="1" applyBorder="1" applyAlignment="1">
      <alignment horizontal="center"/>
    </xf>
    <xf numFmtId="164" fontId="0" fillId="6" borderId="111" xfId="1" applyNumberFormat="1" applyFont="1" applyFill="1" applyBorder="1" applyAlignment="1"/>
    <xf numFmtId="38" fontId="0" fillId="6" borderId="112" xfId="1" applyNumberFormat="1" applyFont="1" applyFill="1" applyBorder="1" applyAlignment="1">
      <alignment horizontal="center"/>
    </xf>
    <xf numFmtId="40" fontId="0" fillId="6" borderId="113" xfId="1" applyNumberFormat="1" applyFont="1" applyFill="1" applyBorder="1" applyAlignment="1">
      <alignment horizontal="center"/>
    </xf>
    <xf numFmtId="0" fontId="3" fillId="16" borderId="109" xfId="0" applyFont="1" applyFill="1" applyBorder="1" applyAlignment="1">
      <alignment horizontal="center" vertical="center"/>
    </xf>
    <xf numFmtId="0" fontId="3" fillId="16" borderId="110" xfId="0" applyFont="1" applyFill="1" applyBorder="1" applyAlignment="1">
      <alignment horizontal="center" vertical="center"/>
    </xf>
    <xf numFmtId="0" fontId="9" fillId="16" borderId="108" xfId="0" applyFont="1" applyFill="1" applyBorder="1" applyAlignment="1">
      <alignment horizontal="center" vertical="center"/>
    </xf>
    <xf numFmtId="3" fontId="0" fillId="16" borderId="109" xfId="0" applyNumberFormat="1" applyFill="1" applyBorder="1" applyAlignment="1">
      <alignment horizontal="center"/>
    </xf>
    <xf numFmtId="3" fontId="0" fillId="16" borderId="110" xfId="0" applyNumberFormat="1" applyFill="1" applyBorder="1" applyAlignment="1">
      <alignment horizontal="center"/>
    </xf>
    <xf numFmtId="0" fontId="0" fillId="16" borderId="108" xfId="0" applyFill="1" applyBorder="1"/>
    <xf numFmtId="0" fontId="0" fillId="16" borderId="109" xfId="0" applyFill="1" applyBorder="1"/>
    <xf numFmtId="0" fontId="0" fillId="16" borderId="110" xfId="0" applyFill="1" applyBorder="1"/>
    <xf numFmtId="164" fontId="0" fillId="16" borderId="108" xfId="1" applyNumberFormat="1" applyFont="1" applyFill="1" applyBorder="1" applyAlignment="1"/>
    <xf numFmtId="38" fontId="0" fillId="16" borderId="109" xfId="1" applyNumberFormat="1" applyFont="1" applyFill="1" applyBorder="1" applyAlignment="1">
      <alignment horizontal="center"/>
    </xf>
    <xf numFmtId="40" fontId="0" fillId="16" borderId="110" xfId="1" applyNumberFormat="1" applyFont="1" applyFill="1" applyBorder="1" applyAlignment="1">
      <alignment horizontal="center"/>
    </xf>
    <xf numFmtId="38" fontId="0" fillId="16" borderId="110" xfId="1" applyNumberFormat="1" applyFont="1" applyFill="1" applyBorder="1" applyAlignment="1">
      <alignment horizontal="left" indent="2"/>
    </xf>
    <xf numFmtId="164" fontId="0" fillId="16" borderId="108" xfId="1" applyNumberFormat="1" applyFont="1" applyFill="1" applyBorder="1" applyAlignment="1">
      <alignment horizontal="center"/>
    </xf>
    <xf numFmtId="164" fontId="0" fillId="16" borderId="111" xfId="1" applyNumberFormat="1" applyFont="1" applyFill="1" applyBorder="1" applyAlignment="1"/>
    <xf numFmtId="38" fontId="0" fillId="16" borderId="112" xfId="1" applyNumberFormat="1" applyFont="1" applyFill="1" applyBorder="1" applyAlignment="1">
      <alignment horizontal="center"/>
    </xf>
    <xf numFmtId="40" fontId="0" fillId="16" borderId="113" xfId="1" applyNumberFormat="1" applyFont="1" applyFill="1" applyBorder="1" applyAlignment="1">
      <alignment horizontal="center"/>
    </xf>
    <xf numFmtId="0" fontId="0" fillId="0" borderId="143" xfId="0" applyBorder="1"/>
    <xf numFmtId="0" fontId="5" fillId="0" borderId="0" xfId="0" applyFont="1" applyBorder="1" applyAlignment="1">
      <alignment wrapText="1"/>
    </xf>
    <xf numFmtId="0" fontId="5" fillId="0" borderId="154" xfId="0" applyFont="1" applyBorder="1" applyAlignment="1">
      <alignment horizontal="center" vertical="center"/>
    </xf>
    <xf numFmtId="0" fontId="0" fillId="0" borderId="155" xfId="0" applyBorder="1" applyAlignment="1">
      <alignment vertical="center" wrapText="1"/>
    </xf>
    <xf numFmtId="164" fontId="0" fillId="0" borderId="1" xfId="1" applyNumberFormat="1" applyFont="1" applyFill="1" applyBorder="1" applyAlignment="1">
      <alignment horizontal="center" vertical="center" wrapText="1"/>
    </xf>
    <xf numFmtId="164" fontId="0" fillId="0" borderId="9" xfId="1" applyNumberFormat="1" applyFont="1" applyFill="1" applyBorder="1" applyAlignment="1">
      <alignment horizontal="center" vertical="center" wrapText="1"/>
    </xf>
    <xf numFmtId="0" fontId="13" fillId="4" borderId="0" xfId="0" applyFont="1" applyFill="1" applyBorder="1" applyAlignment="1">
      <alignment horizontal="center" vertical="center"/>
    </xf>
    <xf numFmtId="0" fontId="0" fillId="0" borderId="1" xfId="0" applyFill="1" applyBorder="1" applyAlignment="1">
      <alignment horizontal="right" vertical="center"/>
    </xf>
    <xf numFmtId="0" fontId="6" fillId="0" borderId="11" xfId="0" applyFont="1" applyBorder="1" applyAlignment="1">
      <alignment horizontal="center"/>
    </xf>
    <xf numFmtId="0" fontId="0" fillId="0" borderId="49" xfId="0" applyFont="1" applyFill="1" applyBorder="1" applyAlignment="1">
      <alignment horizontal="right"/>
    </xf>
    <xf numFmtId="0" fontId="0" fillId="0" borderId="3" xfId="0" applyFont="1" applyFill="1" applyBorder="1" applyAlignment="1">
      <alignment horizontal="right"/>
    </xf>
    <xf numFmtId="0" fontId="0" fillId="0" borderId="4" xfId="0" applyFont="1" applyFill="1" applyBorder="1" applyAlignment="1">
      <alignment horizontal="right"/>
    </xf>
    <xf numFmtId="0" fontId="20" fillId="0" borderId="0" xfId="0" applyFont="1" applyAlignment="1">
      <alignment horizontal="center" vertical="center"/>
    </xf>
    <xf numFmtId="0" fontId="13" fillId="2" borderId="108" xfId="0" applyFont="1" applyFill="1" applyBorder="1" applyAlignment="1">
      <alignment horizontal="left"/>
    </xf>
    <xf numFmtId="43" fontId="0" fillId="11" borderId="109" xfId="1" applyFont="1" applyFill="1" applyBorder="1" applyAlignment="1">
      <alignment horizontal="center" wrapText="1"/>
    </xf>
    <xf numFmtId="43" fontId="0" fillId="11" borderId="110" xfId="1" applyFont="1" applyFill="1" applyBorder="1" applyAlignment="1">
      <alignment horizontal="center" wrapText="1"/>
    </xf>
    <xf numFmtId="0" fontId="17" fillId="0" borderId="71" xfId="0" applyFont="1" applyFill="1" applyBorder="1" applyAlignment="1">
      <alignment horizontal="center" wrapText="1"/>
    </xf>
    <xf numFmtId="164" fontId="0" fillId="0" borderId="71" xfId="1" applyNumberFormat="1" applyFont="1" applyFill="1" applyBorder="1" applyAlignment="1">
      <alignment horizontal="right" vertical="center"/>
    </xf>
    <xf numFmtId="0" fontId="0" fillId="0" borderId="71" xfId="0" applyFont="1" applyFill="1" applyBorder="1" applyAlignment="1">
      <alignment horizontal="center" wrapText="1"/>
    </xf>
    <xf numFmtId="0" fontId="17" fillId="0" borderId="2" xfId="0" applyFont="1" applyFill="1" applyBorder="1" applyAlignment="1">
      <alignment horizontal="center" vertical="center" wrapText="1"/>
    </xf>
    <xf numFmtId="0" fontId="0" fillId="0" borderId="0" xfId="2" applyNumberFormat="1" applyFont="1" applyBorder="1" applyAlignment="1">
      <alignment horizontal="center" wrapText="1"/>
    </xf>
    <xf numFmtId="0" fontId="0" fillId="0" borderId="0" xfId="0" applyFont="1" applyBorder="1"/>
    <xf numFmtId="0" fontId="0" fillId="0" borderId="0" xfId="0" applyFont="1" applyBorder="1" applyAlignment="1">
      <alignment horizontal="right"/>
    </xf>
    <xf numFmtId="38" fontId="0" fillId="0" borderId="0" xfId="0" applyNumberFormat="1" applyFont="1" applyBorder="1" applyAlignment="1">
      <alignment horizontal="center"/>
    </xf>
    <xf numFmtId="0" fontId="0" fillId="0" borderId="156" xfId="0" applyBorder="1"/>
    <xf numFmtId="0" fontId="0" fillId="0" borderId="120" xfId="0" applyBorder="1"/>
    <xf numFmtId="0" fontId="0" fillId="0" borderId="120" xfId="0" applyFont="1" applyBorder="1"/>
    <xf numFmtId="0" fontId="0" fillId="0" borderId="157" xfId="0" applyBorder="1" applyAlignment="1">
      <alignment horizontal="center" wrapText="1"/>
    </xf>
    <xf numFmtId="0" fontId="0" fillId="0" borderId="137" xfId="0" applyBorder="1" applyAlignment="1">
      <alignment horizontal="center" wrapText="1"/>
    </xf>
    <xf numFmtId="0" fontId="6" fillId="15" borderId="74" xfId="0" applyFont="1" applyFill="1" applyBorder="1" applyAlignment="1">
      <alignment horizontal="center" vertical="center" wrapText="1"/>
    </xf>
    <xf numFmtId="0" fontId="0" fillId="7" borderId="11" xfId="0" applyFill="1" applyBorder="1"/>
    <xf numFmtId="0" fontId="0" fillId="7" borderId="1" xfId="0" applyFill="1" applyBorder="1"/>
    <xf numFmtId="164" fontId="0" fillId="7" borderId="1" xfId="1" applyNumberFormat="1" applyFont="1" applyFill="1" applyBorder="1"/>
    <xf numFmtId="0" fontId="0" fillId="0" borderId="1" xfId="0" applyFill="1" applyBorder="1"/>
    <xf numFmtId="0" fontId="5" fillId="0" borderId="41" xfId="0" applyFont="1" applyBorder="1" applyAlignment="1">
      <alignment horizontal="left" wrapText="1"/>
    </xf>
    <xf numFmtId="0" fontId="0" fillId="0" borderId="0" xfId="0" applyAlignment="1">
      <alignment wrapText="1"/>
    </xf>
    <xf numFmtId="0" fontId="0" fillId="0" borderId="3" xfId="0" applyBorder="1" applyAlignment="1">
      <alignment wrapText="1"/>
    </xf>
    <xf numFmtId="0" fontId="0" fillId="0" borderId="0" xfId="0" applyAlignment="1">
      <alignment vertical="center" wrapText="1"/>
    </xf>
    <xf numFmtId="0" fontId="9" fillId="0" borderId="109" xfId="0" applyFont="1" applyBorder="1" applyAlignment="1">
      <alignment horizontal="right" vertical="center"/>
    </xf>
    <xf numFmtId="0" fontId="9" fillId="0" borderId="136" xfId="0" applyFont="1" applyBorder="1" applyAlignment="1">
      <alignment horizontal="center"/>
    </xf>
    <xf numFmtId="0" fontId="9" fillId="0" borderId="137" xfId="0" applyFont="1" applyBorder="1" applyAlignment="1">
      <alignment horizontal="center"/>
    </xf>
    <xf numFmtId="0" fontId="9" fillId="0" borderId="138" xfId="0" applyFont="1" applyBorder="1" applyAlignment="1">
      <alignment horizontal="center"/>
    </xf>
    <xf numFmtId="0" fontId="8" fillId="0" borderId="0" xfId="0" applyFont="1" applyFill="1"/>
    <xf numFmtId="49" fontId="8" fillId="19" borderId="76" xfId="0" applyNumberFormat="1" applyFont="1" applyFill="1" applyBorder="1" applyAlignment="1">
      <alignment horizontal="center"/>
    </xf>
    <xf numFmtId="0" fontId="17" fillId="19" borderId="27" xfId="0" applyFont="1" applyFill="1" applyBorder="1"/>
    <xf numFmtId="2" fontId="0" fillId="19" borderId="27" xfId="0" applyNumberFormat="1" applyFill="1" applyBorder="1" applyAlignment="1">
      <alignment horizontal="center"/>
    </xf>
    <xf numFmtId="0" fontId="0" fillId="19" borderId="27" xfId="0" applyFill="1" applyBorder="1" applyAlignment="1">
      <alignment horizontal="center"/>
    </xf>
    <xf numFmtId="167" fontId="8" fillId="19" borderId="38" xfId="2" applyNumberFormat="1" applyFont="1" applyFill="1" applyBorder="1" applyAlignment="1">
      <alignment horizontal="center"/>
    </xf>
    <xf numFmtId="167" fontId="8" fillId="19" borderId="158" xfId="2" applyNumberFormat="1" applyFont="1" applyFill="1" applyBorder="1" applyAlignment="1">
      <alignment horizontal="center"/>
    </xf>
    <xf numFmtId="49" fontId="10" fillId="0" borderId="129" xfId="0" applyNumberFormat="1" applyFont="1" applyBorder="1" applyAlignment="1">
      <alignment horizontal="center" vertical="center"/>
    </xf>
    <xf numFmtId="49" fontId="10" fillId="0" borderId="139" xfId="0" applyNumberFormat="1" applyFont="1" applyBorder="1" applyAlignment="1">
      <alignment horizontal="center" vertical="center"/>
    </xf>
    <xf numFmtId="49" fontId="5" fillId="0" borderId="133" xfId="0" applyNumberFormat="1" applyFont="1" applyBorder="1" applyAlignment="1">
      <alignment horizontal="left" vertical="center"/>
    </xf>
    <xf numFmtId="49" fontId="5" fillId="0" borderId="122" xfId="0" applyNumberFormat="1" applyFont="1" applyBorder="1" applyAlignment="1">
      <alignment horizontal="left"/>
    </xf>
    <xf numFmtId="0" fontId="0" fillId="0" borderId="0" xfId="0"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center" vertical="center" wrapText="1"/>
    </xf>
    <xf numFmtId="9" fontId="5" fillId="0" borderId="0" xfId="2" applyFont="1" applyFill="1" applyBorder="1" applyAlignment="1">
      <alignment horizontal="center" vertical="center"/>
    </xf>
    <xf numFmtId="9" fontId="0" fillId="0" borderId="0" xfId="2" applyFont="1" applyFill="1"/>
    <xf numFmtId="164" fontId="0" fillId="20" borderId="4" xfId="0" applyNumberFormat="1" applyFill="1" applyBorder="1"/>
    <xf numFmtId="0" fontId="0" fillId="20" borderId="28" xfId="0" applyFill="1" applyBorder="1"/>
    <xf numFmtId="0" fontId="0" fillId="20" borderId="10" xfId="0" applyFill="1" applyBorder="1" applyAlignment="1">
      <alignment horizontal="right"/>
    </xf>
    <xf numFmtId="164" fontId="0" fillId="20" borderId="10" xfId="1" applyNumberFormat="1" applyFont="1" applyFill="1" applyBorder="1"/>
    <xf numFmtId="0" fontId="0" fillId="0" borderId="2" xfId="1" applyNumberFormat="1" applyFont="1" applyFill="1" applyBorder="1"/>
    <xf numFmtId="37" fontId="0" fillId="0" borderId="4" xfId="1" applyNumberFormat="1" applyFont="1" applyBorder="1" applyAlignment="1">
      <alignment horizontal="center"/>
    </xf>
    <xf numFmtId="164" fontId="0" fillId="0" borderId="78" xfId="0" applyNumberFormat="1" applyFill="1" applyBorder="1" applyAlignment="1">
      <alignment horizontal="center" vertical="center" wrapText="1"/>
    </xf>
    <xf numFmtId="164" fontId="0" fillId="0" borderId="3" xfId="1" applyNumberFormat="1" applyFont="1" applyFill="1" applyBorder="1"/>
    <xf numFmtId="164" fontId="0" fillId="0" borderId="58" xfId="1" applyNumberFormat="1" applyFont="1" applyFill="1" applyBorder="1"/>
    <xf numFmtId="0" fontId="0" fillId="0" borderId="2" xfId="0" applyBorder="1" applyAlignment="1">
      <alignment horizontal="right" vertical="center"/>
    </xf>
    <xf numFmtId="43" fontId="3" fillId="0" borderId="92" xfId="1" applyFont="1" applyFill="1" applyBorder="1" applyAlignment="1">
      <alignment horizontal="left"/>
    </xf>
    <xf numFmtId="0" fontId="1" fillId="0" borderId="88" xfId="1" applyNumberFormat="1" applyFont="1" applyFill="1" applyBorder="1" applyAlignment="1">
      <alignment horizontal="left" wrapText="1" indent="2"/>
    </xf>
    <xf numFmtId="0" fontId="5" fillId="7" borderId="1" xfId="0" applyFont="1" applyFill="1" applyBorder="1" applyAlignment="1">
      <alignment horizontal="left" vertical="center"/>
    </xf>
    <xf numFmtId="164" fontId="0" fillId="7" borderId="1" xfId="1" applyNumberFormat="1" applyFont="1" applyFill="1" applyBorder="1" applyAlignment="1">
      <alignment horizontal="center"/>
    </xf>
    <xf numFmtId="0" fontId="5" fillId="0" borderId="0" xfId="0" applyFont="1" applyFill="1" applyBorder="1" applyAlignment="1">
      <alignment horizontal="center" vertical="center"/>
    </xf>
    <xf numFmtId="38" fontId="0" fillId="0" borderId="0" xfId="0" applyNumberFormat="1" applyFill="1" applyBorder="1"/>
    <xf numFmtId="38" fontId="0" fillId="0" borderId="9" xfId="1" applyNumberFormat="1" applyFont="1" applyFill="1" applyBorder="1" applyAlignment="1"/>
    <xf numFmtId="0" fontId="0" fillId="0" borderId="14" xfId="0" applyFill="1" applyBorder="1" applyAlignment="1">
      <alignment horizontal="right" vertical="center"/>
    </xf>
    <xf numFmtId="0" fontId="0" fillId="0" borderId="76" xfId="0" applyFill="1" applyBorder="1" applyAlignment="1">
      <alignment horizontal="right" vertical="center"/>
    </xf>
    <xf numFmtId="0" fontId="0" fillId="20" borderId="161" xfId="0" applyFill="1" applyBorder="1"/>
    <xf numFmtId="0" fontId="0" fillId="20" borderId="45" xfId="0" applyFill="1" applyBorder="1" applyAlignment="1">
      <alignment horizontal="right"/>
    </xf>
    <xf numFmtId="164" fontId="0" fillId="20" borderId="45" xfId="1" applyNumberFormat="1" applyFont="1" applyFill="1" applyBorder="1"/>
    <xf numFmtId="0" fontId="0" fillId="20" borderId="45" xfId="0" applyFill="1" applyBorder="1"/>
    <xf numFmtId="164" fontId="0" fillId="20" borderId="162" xfId="0" applyNumberFormat="1" applyFill="1" applyBorder="1"/>
    <xf numFmtId="0" fontId="0" fillId="0" borderId="9" xfId="0" applyFill="1" applyBorder="1" applyAlignment="1">
      <alignment horizontal="center" wrapText="1"/>
    </xf>
    <xf numFmtId="41" fontId="0" fillId="0" borderId="127" xfId="0" applyNumberFormat="1" applyBorder="1"/>
    <xf numFmtId="41" fontId="0" fillId="0" borderId="128" xfId="0" applyNumberFormat="1" applyBorder="1"/>
    <xf numFmtId="0" fontId="3" fillId="0" borderId="15" xfId="0" applyFont="1" applyBorder="1" applyAlignment="1">
      <alignment horizontal="center"/>
    </xf>
    <xf numFmtId="164" fontId="0" fillId="0" borderId="134" xfId="1" applyNumberFormat="1" applyFont="1" applyFill="1" applyBorder="1" applyProtection="1">
      <protection locked="0"/>
    </xf>
    <xf numFmtId="0" fontId="0" fillId="0" borderId="153" xfId="0" applyBorder="1" applyProtection="1">
      <protection locked="0"/>
    </xf>
    <xf numFmtId="0" fontId="3" fillId="0" borderId="134" xfId="0" applyFont="1" applyBorder="1" applyAlignment="1">
      <alignment horizontal="center" vertical="center" wrapText="1"/>
    </xf>
    <xf numFmtId="0" fontId="3" fillId="0" borderId="134" xfId="0" applyFont="1" applyBorder="1" applyAlignment="1">
      <alignment horizontal="center" wrapText="1"/>
    </xf>
    <xf numFmtId="0" fontId="3" fillId="0" borderId="135" xfId="0" applyFont="1" applyBorder="1" applyAlignment="1">
      <alignment horizontal="center" wrapText="1"/>
    </xf>
    <xf numFmtId="0" fontId="3" fillId="0" borderId="110" xfId="0" applyFont="1" applyBorder="1" applyAlignment="1">
      <alignment horizontal="center" vertical="center" wrapText="1"/>
    </xf>
    <xf numFmtId="164" fontId="0" fillId="0" borderId="113" xfId="1" applyNumberFormat="1" applyFont="1" applyBorder="1"/>
    <xf numFmtId="0" fontId="3" fillId="2" borderId="109" xfId="0" applyFont="1" applyFill="1" applyBorder="1" applyAlignment="1">
      <alignment horizontal="center" wrapText="1"/>
    </xf>
    <xf numFmtId="0" fontId="40" fillId="0" borderId="119" xfId="0" applyFont="1" applyBorder="1" applyAlignment="1">
      <alignment horizontal="center"/>
    </xf>
    <xf numFmtId="164" fontId="0" fillId="0" borderId="7" xfId="1" applyNumberFormat="1" applyFont="1" applyBorder="1" applyAlignment="1">
      <alignment horizontal="center" vertical="center" wrapText="1"/>
    </xf>
    <xf numFmtId="164" fontId="0" fillId="0" borderId="31" xfId="1" applyNumberFormat="1" applyFont="1" applyBorder="1" applyAlignment="1">
      <alignment horizontal="center" vertical="center"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40" xfId="0" applyBorder="1" applyAlignment="1">
      <alignment horizontal="center" vertical="center" wrapText="1"/>
    </xf>
    <xf numFmtId="164" fontId="0" fillId="3" borderId="1" xfId="0" applyNumberFormat="1" applyFill="1" applyBorder="1" applyAlignment="1">
      <alignment horizontal="center" vertical="center" wrapText="1"/>
    </xf>
    <xf numFmtId="37" fontId="0" fillId="3" borderId="9" xfId="0" applyNumberFormat="1" applyFill="1" applyBorder="1" applyAlignment="1">
      <alignment horizontal="center" vertical="center" wrapText="1"/>
    </xf>
    <xf numFmtId="164" fontId="0" fillId="3" borderId="35" xfId="0" applyNumberFormat="1" applyFill="1" applyBorder="1" applyAlignment="1">
      <alignment horizontal="center" vertical="center" wrapText="1"/>
    </xf>
    <xf numFmtId="0" fontId="0" fillId="3" borderId="35" xfId="0" applyFill="1" applyBorder="1" applyAlignment="1">
      <alignment horizontal="center" vertical="center" wrapText="1"/>
    </xf>
    <xf numFmtId="0" fontId="0" fillId="3" borderId="36" xfId="0" applyFill="1" applyBorder="1" applyAlignment="1">
      <alignment wrapText="1"/>
    </xf>
    <xf numFmtId="0" fontId="13" fillId="12" borderId="1" xfId="0" applyFont="1" applyFill="1" applyBorder="1" applyAlignment="1">
      <alignment horizontal="left" vertical="center" wrapText="1"/>
    </xf>
    <xf numFmtId="0" fontId="0" fillId="12"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12" borderId="1" xfId="1" applyNumberFormat="1" applyFont="1" applyFill="1" applyBorder="1" applyAlignment="1">
      <alignment horizontal="center" vertical="center" wrapText="1"/>
    </xf>
    <xf numFmtId="164" fontId="0" fillId="12" borderId="2" xfId="1" applyNumberFormat="1" applyFont="1" applyFill="1" applyBorder="1" applyAlignment="1">
      <alignment horizontal="center" vertical="center" wrapText="1"/>
    </xf>
    <xf numFmtId="164" fontId="0" fillId="12" borderId="3" xfId="1" applyNumberFormat="1" applyFont="1" applyFill="1" applyBorder="1" applyAlignment="1">
      <alignment horizontal="center" vertical="center" wrapText="1"/>
    </xf>
    <xf numFmtId="164" fontId="0" fillId="12" borderId="11" xfId="0" applyNumberFormat="1" applyFill="1" applyBorder="1" applyAlignment="1">
      <alignment horizontal="center" vertical="center" wrapText="1"/>
    </xf>
    <xf numFmtId="164" fontId="0" fillId="12" borderId="9" xfId="0" applyNumberFormat="1" applyFill="1" applyBorder="1" applyAlignment="1">
      <alignment horizontal="center" vertical="center" wrapText="1"/>
    </xf>
    <xf numFmtId="37" fontId="0" fillId="12" borderId="4" xfId="0" applyNumberFormat="1" applyFill="1" applyBorder="1" applyAlignment="1">
      <alignment horizontal="center" vertical="center" wrapText="1"/>
    </xf>
    <xf numFmtId="0" fontId="0" fillId="0" borderId="62" xfId="0" applyBorder="1" applyAlignment="1">
      <alignment horizontal="right" vertical="center" wrapText="1"/>
    </xf>
    <xf numFmtId="0" fontId="5"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3" xfId="0" applyFill="1" applyBorder="1" applyAlignment="1">
      <alignment horizontal="center" vertical="center" wrapText="1"/>
    </xf>
    <xf numFmtId="0" fontId="5" fillId="0" borderId="3" xfId="0" applyFont="1" applyFill="1" applyBorder="1" applyAlignment="1">
      <alignment horizontal="right" vertical="center" wrapText="1"/>
    </xf>
    <xf numFmtId="164" fontId="0" fillId="0" borderId="3" xfId="0" applyNumberFormat="1" applyFill="1" applyBorder="1" applyAlignment="1">
      <alignment horizontal="center" vertical="center" wrapText="1"/>
    </xf>
    <xf numFmtId="0" fontId="0" fillId="0" borderId="3" xfId="0" applyFill="1" applyBorder="1" applyAlignment="1">
      <alignment wrapText="1"/>
    </xf>
    <xf numFmtId="0" fontId="0" fillId="0" borderId="0" xfId="0" applyBorder="1" applyAlignment="1">
      <alignment horizontal="center" wrapText="1"/>
    </xf>
    <xf numFmtId="0" fontId="5" fillId="0" borderId="62" xfId="0" applyFont="1" applyBorder="1" applyAlignment="1">
      <alignment horizontal="center" vertical="center" wrapText="1"/>
    </xf>
    <xf numFmtId="0" fontId="0" fillId="0" borderId="78" xfId="0" applyBorder="1" applyAlignment="1">
      <alignment horizontal="center" wrapText="1"/>
    </xf>
    <xf numFmtId="164" fontId="0" fillId="3" borderId="8" xfId="0" applyNumberFormat="1" applyFill="1" applyBorder="1" applyAlignment="1">
      <alignment horizontal="center" vertical="center" wrapText="1"/>
    </xf>
    <xf numFmtId="37" fontId="0" fillId="3" borderId="48" xfId="0" applyNumberFormat="1" applyFill="1" applyBorder="1" applyAlignment="1">
      <alignment horizontal="center" vertical="center" wrapText="1"/>
    </xf>
    <xf numFmtId="0" fontId="0" fillId="3" borderId="30"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162" xfId="0" applyFill="1" applyBorder="1" applyAlignment="1">
      <alignment horizontal="center" vertical="center" wrapText="1"/>
    </xf>
    <xf numFmtId="164" fontId="5" fillId="0" borderId="1" xfId="1" applyNumberFormat="1" applyFont="1" applyBorder="1" applyAlignment="1">
      <alignment horizontal="right" vertical="center"/>
    </xf>
    <xf numFmtId="0" fontId="20" fillId="0" borderId="0" xfId="0" applyFont="1" applyAlignment="1">
      <alignment horizontal="center" vertical="center"/>
    </xf>
    <xf numFmtId="164" fontId="9" fillId="6" borderId="110" xfId="1" applyNumberFormat="1" applyFont="1" applyFill="1" applyBorder="1" applyAlignment="1">
      <alignment horizontal="center" vertical="center" wrapText="1"/>
    </xf>
    <xf numFmtId="9" fontId="9" fillId="6" borderId="110" xfId="2" applyFont="1" applyFill="1" applyBorder="1" applyAlignment="1">
      <alignment horizontal="center" vertical="center" wrapText="1"/>
    </xf>
    <xf numFmtId="164" fontId="9" fillId="16" borderId="110" xfId="1" applyNumberFormat="1" applyFont="1" applyFill="1" applyBorder="1" applyAlignment="1">
      <alignment horizontal="center" vertical="center" wrapText="1"/>
    </xf>
    <xf numFmtId="9" fontId="9" fillId="16" borderId="110" xfId="2" applyFont="1" applyFill="1" applyBorder="1" applyAlignment="1">
      <alignment horizontal="center" vertical="center" wrapText="1"/>
    </xf>
    <xf numFmtId="0" fontId="0" fillId="0" borderId="133" xfId="0" applyBorder="1"/>
    <xf numFmtId="164" fontId="0" fillId="0" borderId="138" xfId="0" applyNumberFormat="1" applyBorder="1" applyAlignment="1">
      <alignment vertical="center"/>
    </xf>
    <xf numFmtId="164" fontId="0" fillId="0" borderId="137" xfId="1" applyNumberFormat="1" applyFont="1" applyFill="1" applyBorder="1"/>
    <xf numFmtId="164" fontId="0" fillId="0" borderId="137" xfId="1" applyNumberFormat="1" applyFont="1" applyFill="1" applyBorder="1" applyAlignment="1">
      <alignment horizontal="center"/>
    </xf>
    <xf numFmtId="164" fontId="3" fillId="0" borderId="117" xfId="1" applyNumberFormat="1" applyFont="1" applyBorder="1" applyAlignment="1">
      <alignment horizontal="center" wrapText="1"/>
    </xf>
    <xf numFmtId="164" fontId="3" fillId="6" borderId="116" xfId="1" applyNumberFormat="1" applyFont="1" applyFill="1" applyBorder="1" applyAlignment="1">
      <alignment horizontal="center" wrapText="1"/>
    </xf>
    <xf numFmtId="164" fontId="3" fillId="6" borderId="117" xfId="1" applyNumberFormat="1" applyFont="1" applyFill="1" applyBorder="1" applyAlignment="1">
      <alignment horizontal="center" wrapText="1"/>
    </xf>
    <xf numFmtId="164" fontId="3" fillId="16" borderId="116" xfId="1" applyNumberFormat="1" applyFont="1" applyFill="1" applyBorder="1" applyAlignment="1">
      <alignment horizontal="center" wrapText="1"/>
    </xf>
    <xf numFmtId="164" fontId="3" fillId="16" borderId="117" xfId="1" applyNumberFormat="1" applyFont="1" applyFill="1" applyBorder="1" applyAlignment="1">
      <alignment horizontal="center" wrapText="1"/>
    </xf>
    <xf numFmtId="164" fontId="0" fillId="0" borderId="134" xfId="1" applyNumberFormat="1" applyFont="1" applyFill="1" applyBorder="1" applyAlignment="1">
      <alignment horizontal="center"/>
    </xf>
    <xf numFmtId="43" fontId="0" fillId="0" borderId="137" xfId="0" applyNumberFormat="1" applyBorder="1"/>
    <xf numFmtId="0" fontId="3" fillId="13" borderId="172" xfId="0" applyFont="1" applyFill="1" applyBorder="1" applyAlignment="1">
      <alignment horizontal="center" wrapText="1"/>
    </xf>
    <xf numFmtId="0" fontId="3" fillId="13" borderId="173" xfId="0" applyFont="1" applyFill="1" applyBorder="1" applyAlignment="1">
      <alignment horizontal="center" wrapText="1"/>
    </xf>
    <xf numFmtId="0" fontId="3" fillId="13" borderId="174" xfId="0" applyFont="1" applyFill="1" applyBorder="1" applyAlignment="1">
      <alignment horizontal="center" wrapText="1"/>
    </xf>
    <xf numFmtId="9" fontId="9" fillId="6" borderId="114" xfId="2" applyFont="1" applyFill="1" applyBorder="1" applyAlignment="1">
      <alignment horizontal="right" vertical="center" wrapText="1"/>
    </xf>
    <xf numFmtId="9" fontId="9" fillId="16" borderId="114" xfId="2" applyFont="1" applyFill="1" applyBorder="1" applyAlignment="1">
      <alignment horizontal="right" vertical="center" wrapText="1"/>
    </xf>
    <xf numFmtId="9" fontId="3" fillId="6" borderId="136" xfId="2" applyFont="1" applyFill="1" applyBorder="1" applyAlignment="1">
      <alignment horizontal="right" vertical="center" wrapText="1"/>
    </xf>
    <xf numFmtId="9" fontId="3" fillId="16" borderId="136" xfId="2" applyFont="1" applyFill="1" applyBorder="1" applyAlignment="1">
      <alignment horizontal="right" vertical="center" wrapText="1"/>
    </xf>
    <xf numFmtId="0" fontId="3" fillId="13" borderId="172" xfId="0" applyFont="1" applyFill="1" applyBorder="1" applyAlignment="1">
      <alignment horizontal="right" vertical="center" wrapText="1"/>
    </xf>
    <xf numFmtId="0" fontId="0" fillId="0" borderId="88" xfId="0" applyNumberFormat="1" applyFont="1" applyBorder="1" applyAlignment="1">
      <alignment horizontal="left" indent="4"/>
    </xf>
    <xf numFmtId="164" fontId="0" fillId="0" borderId="89" xfId="1" applyNumberFormat="1" applyFont="1" applyFill="1" applyBorder="1" applyAlignment="1"/>
    <xf numFmtId="0" fontId="3" fillId="0" borderId="109" xfId="0" applyFont="1" applyBorder="1" applyAlignment="1">
      <alignment horizontal="right" vertical="center"/>
    </xf>
    <xf numFmtId="0" fontId="5" fillId="0" borderId="109" xfId="0" applyFont="1" applyBorder="1" applyAlignment="1">
      <alignment horizontal="center"/>
    </xf>
    <xf numFmtId="0" fontId="21" fillId="6" borderId="108" xfId="0" applyFont="1" applyFill="1" applyBorder="1" applyAlignment="1">
      <alignment horizontal="center" vertical="center" wrapText="1"/>
    </xf>
    <xf numFmtId="0" fontId="21" fillId="16" borderId="108" xfId="0" applyFont="1" applyFill="1" applyBorder="1" applyAlignment="1">
      <alignment horizontal="center" vertical="center" wrapText="1"/>
    </xf>
    <xf numFmtId="0" fontId="0" fillId="6" borderId="108" xfId="0" applyFill="1" applyBorder="1"/>
    <xf numFmtId="43" fontId="0" fillId="0" borderId="1" xfId="1" applyNumberFormat="1" applyFont="1" applyBorder="1" applyAlignment="1">
      <alignment horizontal="right"/>
    </xf>
    <xf numFmtId="49" fontId="33" fillId="0" borderId="147" xfId="0" applyNumberFormat="1" applyFont="1" applyBorder="1" applyAlignment="1">
      <alignment horizontal="left"/>
    </xf>
    <xf numFmtId="0" fontId="0" fillId="0" borderId="175" xfId="0" applyBorder="1"/>
    <xf numFmtId="2" fontId="0" fillId="8" borderId="176" xfId="0" applyNumberFormat="1" applyFill="1" applyBorder="1" applyAlignment="1">
      <alignment horizontal="center"/>
    </xf>
    <xf numFmtId="0" fontId="0" fillId="9" borderId="176" xfId="0" applyFill="1" applyBorder="1" applyAlignment="1">
      <alignment horizontal="center"/>
    </xf>
    <xf numFmtId="2" fontId="0" fillId="10" borderId="157" xfId="0" applyNumberFormat="1" applyFill="1" applyBorder="1" applyAlignment="1">
      <alignment horizontal="center"/>
    </xf>
    <xf numFmtId="9" fontId="8" fillId="0" borderId="145" xfId="2" applyNumberFormat="1" applyFont="1" applyFill="1" applyBorder="1" applyAlignment="1">
      <alignment horizontal="center"/>
    </xf>
    <xf numFmtId="0" fontId="0" fillId="0" borderId="89" xfId="0" applyFont="1" applyBorder="1" applyAlignment="1">
      <alignment horizontal="center"/>
    </xf>
    <xf numFmtId="0" fontId="0" fillId="0" borderId="98" xfId="0" applyFont="1" applyFill="1" applyBorder="1"/>
    <xf numFmtId="0" fontId="0" fillId="0" borderId="89" xfId="0" applyFont="1" applyFill="1" applyBorder="1" applyAlignment="1">
      <alignment horizontal="center"/>
    </xf>
    <xf numFmtId="0" fontId="3" fillId="0" borderId="89" xfId="0" applyFont="1" applyBorder="1" applyAlignment="1">
      <alignment horizontal="center"/>
    </xf>
    <xf numFmtId="0" fontId="19" fillId="2" borderId="89" xfId="0" applyFont="1" applyFill="1" applyBorder="1" applyAlignment="1">
      <alignment horizontal="center" wrapText="1"/>
    </xf>
    <xf numFmtId="0" fontId="3" fillId="0" borderId="89" xfId="0" applyFont="1" applyBorder="1" applyAlignment="1">
      <alignment horizontal="right"/>
    </xf>
    <xf numFmtId="0" fontId="7" fillId="2" borderId="88" xfId="0" applyFont="1" applyFill="1" applyBorder="1"/>
    <xf numFmtId="0" fontId="0" fillId="0" borderId="98" xfId="0" applyFill="1" applyBorder="1" applyAlignment="1"/>
    <xf numFmtId="0" fontId="3" fillId="0" borderId="89" xfId="0" applyFont="1" applyBorder="1" applyAlignment="1">
      <alignment horizontal="right" vertical="center"/>
    </xf>
    <xf numFmtId="0" fontId="5" fillId="0" borderId="89" xfId="0" applyFont="1" applyBorder="1" applyAlignment="1">
      <alignment vertical="center"/>
    </xf>
    <xf numFmtId="0" fontId="0" fillId="0" borderId="89" xfId="0" applyBorder="1" applyAlignment="1">
      <alignment horizontal="center" wrapText="1"/>
    </xf>
    <xf numFmtId="0" fontId="0" fillId="0" borderId="89" xfId="0" applyFill="1" applyBorder="1" applyAlignment="1">
      <alignment horizontal="center"/>
    </xf>
    <xf numFmtId="0" fontId="0" fillId="0" borderId="89" xfId="0" applyBorder="1" applyAlignment="1">
      <alignment horizontal="center"/>
    </xf>
    <xf numFmtId="0" fontId="3" fillId="0" borderId="98" xfId="0" applyFont="1" applyBorder="1" applyAlignment="1">
      <alignment horizontal="right"/>
    </xf>
    <xf numFmtId="0" fontId="5" fillId="0" borderId="89" xfId="0" applyFont="1" applyBorder="1" applyAlignment="1">
      <alignment horizontal="left"/>
    </xf>
    <xf numFmtId="0" fontId="9" fillId="0" borderId="181" xfId="0" applyFont="1" applyBorder="1" applyAlignment="1">
      <alignment horizontal="right" vertical="center"/>
    </xf>
    <xf numFmtId="0" fontId="3" fillId="0" borderId="91" xfId="0" applyFont="1" applyBorder="1" applyAlignment="1">
      <alignment horizontal="right"/>
    </xf>
    <xf numFmtId="0" fontId="0" fillId="0" borderId="97" xfId="0" applyFill="1" applyBorder="1" applyAlignment="1"/>
    <xf numFmtId="0" fontId="5" fillId="0" borderId="97" xfId="0" applyFont="1" applyBorder="1" applyAlignment="1">
      <alignment horizontal="left"/>
    </xf>
    <xf numFmtId="0" fontId="0" fillId="0" borderId="102" xfId="0" applyBorder="1"/>
    <xf numFmtId="0" fontId="0" fillId="0" borderId="89" xfId="0" applyFont="1" applyBorder="1" applyAlignment="1">
      <alignment horizontal="right"/>
    </xf>
    <xf numFmtId="0" fontId="0" fillId="0" borderId="91" xfId="0" applyFont="1" applyBorder="1" applyAlignment="1">
      <alignment horizontal="right"/>
    </xf>
    <xf numFmtId="0" fontId="0" fillId="0" borderId="94" xfId="0" applyFont="1" applyBorder="1"/>
    <xf numFmtId="0" fontId="0" fillId="0" borderId="131" xfId="0" applyFont="1" applyBorder="1"/>
    <xf numFmtId="0" fontId="0" fillId="0" borderId="183" xfId="0" applyBorder="1"/>
    <xf numFmtId="0" fontId="0" fillId="0" borderId="184" xfId="0" applyBorder="1"/>
    <xf numFmtId="0" fontId="0" fillId="0" borderId="101" xfId="0" applyBorder="1"/>
    <xf numFmtId="0" fontId="0" fillId="0" borderId="132" xfId="0" applyBorder="1"/>
    <xf numFmtId="0" fontId="3" fillId="0" borderId="12" xfId="0" applyFont="1" applyBorder="1" applyAlignment="1">
      <alignment horizontal="right"/>
    </xf>
    <xf numFmtId="1" fontId="3" fillId="0" borderId="60" xfId="0" applyNumberFormat="1" applyFont="1" applyBorder="1" applyAlignment="1">
      <alignment horizontal="center"/>
    </xf>
    <xf numFmtId="164" fontId="3" fillId="0" borderId="13" xfId="1" applyNumberFormat="1" applyFont="1" applyBorder="1" applyAlignment="1">
      <alignment horizontal="right"/>
    </xf>
    <xf numFmtId="173" fontId="3" fillId="0" borderId="60" xfId="1" applyNumberFormat="1" applyFont="1" applyBorder="1" applyAlignment="1">
      <alignment horizontal="center"/>
    </xf>
    <xf numFmtId="1" fontId="9" fillId="0" borderId="88" xfId="0" applyNumberFormat="1" applyFont="1" applyBorder="1" applyAlignment="1">
      <alignment horizontal="right"/>
    </xf>
    <xf numFmtId="1" fontId="9" fillId="0" borderId="89" xfId="0" applyNumberFormat="1" applyFont="1" applyBorder="1" applyAlignment="1">
      <alignment horizontal="center"/>
    </xf>
    <xf numFmtId="0" fontId="0" fillId="0" borderId="88" xfId="0" applyBorder="1" applyAlignment="1">
      <alignment horizontal="right"/>
    </xf>
    <xf numFmtId="168" fontId="0" fillId="0" borderId="89" xfId="0" applyNumberFormat="1" applyFill="1" applyBorder="1" applyAlignment="1">
      <alignment horizontal="center"/>
    </xf>
    <xf numFmtId="164" fontId="9" fillId="0" borderId="88" xfId="1" applyNumberFormat="1" applyFont="1" applyFill="1" applyBorder="1" applyAlignment="1">
      <alignment horizontal="center" vertical="center"/>
    </xf>
    <xf numFmtId="164" fontId="9" fillId="0" borderId="89" xfId="1" applyNumberFormat="1" applyFont="1" applyFill="1" applyBorder="1" applyAlignment="1">
      <alignment horizontal="center" vertical="center"/>
    </xf>
    <xf numFmtId="0" fontId="7" fillId="2" borderId="89" xfId="0" applyFont="1" applyFill="1" applyBorder="1"/>
    <xf numFmtId="164" fontId="0" fillId="0" borderId="88" xfId="1" applyNumberFormat="1" applyFont="1" applyBorder="1"/>
    <xf numFmtId="164" fontId="0" fillId="0" borderId="88" xfId="1" applyNumberFormat="1" applyFont="1" applyFill="1" applyBorder="1"/>
    <xf numFmtId="164" fontId="3" fillId="0" borderId="88" xfId="1" applyNumberFormat="1" applyFont="1" applyBorder="1"/>
    <xf numFmtId="164" fontId="3" fillId="0" borderId="89" xfId="1" applyNumberFormat="1" applyFont="1" applyBorder="1"/>
    <xf numFmtId="164" fontId="0" fillId="2" borderId="88" xfId="1" applyNumberFormat="1" applyFont="1" applyFill="1" applyBorder="1"/>
    <xf numFmtId="164" fontId="0" fillId="2" borderId="89" xfId="1" applyNumberFormat="1" applyFont="1" applyFill="1" applyBorder="1"/>
    <xf numFmtId="164" fontId="3" fillId="0" borderId="88" xfId="1" applyNumberFormat="1" applyFont="1" applyFill="1" applyBorder="1"/>
    <xf numFmtId="164" fontId="3" fillId="0" borderId="89" xfId="1" applyNumberFormat="1" applyFont="1" applyFill="1" applyBorder="1"/>
    <xf numFmtId="164" fontId="3" fillId="0" borderId="88" xfId="1" applyNumberFormat="1" applyFont="1" applyFill="1" applyBorder="1" applyAlignment="1">
      <alignment vertical="center"/>
    </xf>
    <xf numFmtId="164" fontId="3" fillId="0" borderId="89" xfId="1" applyNumberFormat="1" applyFont="1" applyFill="1" applyBorder="1" applyAlignment="1">
      <alignment vertical="center"/>
    </xf>
    <xf numFmtId="164" fontId="5" fillId="2" borderId="89" xfId="1" applyNumberFormat="1" applyFont="1" applyFill="1" applyBorder="1" applyAlignment="1">
      <alignment horizontal="center" vertical="center"/>
    </xf>
    <xf numFmtId="37" fontId="18" fillId="0" borderId="88" xfId="1" applyNumberFormat="1" applyFont="1" applyFill="1" applyBorder="1" applyAlignment="1">
      <alignment horizontal="right" vertical="center"/>
    </xf>
    <xf numFmtId="37" fontId="18" fillId="0" borderId="89" xfId="1" applyNumberFormat="1" applyFont="1" applyFill="1" applyBorder="1" applyAlignment="1">
      <alignment horizontal="right" vertical="center"/>
    </xf>
    <xf numFmtId="164" fontId="3" fillId="0" borderId="88" xfId="1" applyNumberFormat="1" applyFont="1" applyBorder="1" applyAlignment="1">
      <alignment vertical="center"/>
    </xf>
    <xf numFmtId="164" fontId="3" fillId="0" borderId="89" xfId="1" applyNumberFormat="1" applyFont="1" applyBorder="1" applyAlignment="1">
      <alignment vertical="center"/>
    </xf>
    <xf numFmtId="37" fontId="3" fillId="0" borderId="90" xfId="1" applyNumberFormat="1" applyFont="1" applyBorder="1" applyAlignment="1">
      <alignment vertical="center"/>
    </xf>
    <xf numFmtId="37" fontId="3" fillId="0" borderId="91" xfId="1" applyNumberFormat="1" applyFont="1" applyBorder="1" applyAlignment="1">
      <alignment vertical="center"/>
    </xf>
    <xf numFmtId="164" fontId="0" fillId="0" borderId="88" xfId="1" applyNumberFormat="1" applyFont="1" applyBorder="1" applyAlignment="1">
      <alignment horizontal="right"/>
    </xf>
    <xf numFmtId="164" fontId="5" fillId="2" borderId="88" xfId="1" applyNumberFormat="1" applyFont="1" applyFill="1" applyBorder="1" applyAlignment="1">
      <alignment horizontal="center" vertical="center"/>
    </xf>
    <xf numFmtId="0" fontId="0" fillId="0" borderId="97" xfId="0" applyFont="1" applyFill="1" applyBorder="1"/>
    <xf numFmtId="0" fontId="19" fillId="2" borderId="193" xfId="0" applyFont="1" applyFill="1" applyBorder="1" applyAlignment="1">
      <alignment horizontal="center" vertical="center" wrapText="1"/>
    </xf>
    <xf numFmtId="0" fontId="0" fillId="0" borderId="194" xfId="0" applyBorder="1"/>
    <xf numFmtId="0" fontId="0" fillId="0" borderId="195" xfId="0" applyBorder="1"/>
    <xf numFmtId="0" fontId="19" fillId="2" borderId="198" xfId="0" applyFont="1" applyFill="1" applyBorder="1" applyAlignment="1">
      <alignment horizontal="center" wrapText="1"/>
    </xf>
    <xf numFmtId="0" fontId="0" fillId="0" borderId="94" xfId="0" applyFill="1" applyBorder="1"/>
    <xf numFmtId="0" fontId="0" fillId="0" borderId="94" xfId="0" applyFill="1" applyBorder="1" applyAlignment="1">
      <alignment vertical="center"/>
    </xf>
    <xf numFmtId="0" fontId="5" fillId="0" borderId="195" xfId="0" applyFont="1" applyBorder="1" applyAlignment="1">
      <alignment vertical="center"/>
    </xf>
    <xf numFmtId="0" fontId="7" fillId="2" borderId="0" xfId="0" applyFont="1" applyFill="1" applyBorder="1"/>
    <xf numFmtId="0" fontId="7" fillId="2" borderId="130" xfId="0" applyFont="1" applyFill="1" applyBorder="1"/>
    <xf numFmtId="0" fontId="19" fillId="2" borderId="191" xfId="0" applyFont="1" applyFill="1" applyBorder="1" applyAlignment="1">
      <alignment horizontal="center" wrapText="1"/>
    </xf>
    <xf numFmtId="0" fontId="5" fillId="0" borderId="97" xfId="0" applyFont="1" applyBorder="1" applyAlignment="1">
      <alignment vertical="center"/>
    </xf>
    <xf numFmtId="0" fontId="5" fillId="0" borderId="99" xfId="0" applyFont="1" applyBorder="1" applyAlignment="1">
      <alignment vertical="center"/>
    </xf>
    <xf numFmtId="0" fontId="7" fillId="2" borderId="147" xfId="0" applyFont="1" applyFill="1" applyBorder="1"/>
    <xf numFmtId="0" fontId="3" fillId="0" borderId="199" xfId="0" applyFont="1" applyBorder="1" applyAlignment="1">
      <alignment horizontal="right"/>
    </xf>
    <xf numFmtId="0" fontId="3" fillId="0" borderId="200" xfId="0" applyFont="1" applyBorder="1" applyAlignment="1">
      <alignment horizontal="right"/>
    </xf>
    <xf numFmtId="0" fontId="3" fillId="0" borderId="201" xfId="0" applyFont="1" applyBorder="1" applyAlignment="1">
      <alignment horizontal="right"/>
    </xf>
    <xf numFmtId="0" fontId="0" fillId="0" borderId="202" xfId="0" applyFill="1" applyBorder="1" applyAlignment="1">
      <alignment horizontal="center"/>
    </xf>
    <xf numFmtId="0" fontId="7" fillId="2" borderId="199" xfId="0" applyFont="1" applyFill="1" applyBorder="1"/>
    <xf numFmtId="0" fontId="7" fillId="2" borderId="200" xfId="0" applyFont="1" applyFill="1" applyBorder="1"/>
    <xf numFmtId="0" fontId="0" fillId="0" borderId="203" xfId="0" applyBorder="1"/>
    <xf numFmtId="0" fontId="7" fillId="2" borderId="94" xfId="0" applyFont="1" applyFill="1" applyBorder="1"/>
    <xf numFmtId="0" fontId="7" fillId="2" borderId="99" xfId="0" applyFont="1" applyFill="1" applyBorder="1"/>
    <xf numFmtId="0" fontId="7" fillId="2" borderId="204" xfId="0" applyFont="1" applyFill="1" applyBorder="1"/>
    <xf numFmtId="0" fontId="19" fillId="2" borderId="186" xfId="0" applyFont="1" applyFill="1" applyBorder="1" applyAlignment="1">
      <alignment horizontal="center" wrapText="1"/>
    </xf>
    <xf numFmtId="0" fontId="0" fillId="0" borderId="94" xfId="0" applyBorder="1" applyAlignment="1">
      <alignment vertical="center"/>
    </xf>
    <xf numFmtId="0" fontId="5" fillId="0" borderId="94" xfId="0" applyFont="1" applyBorder="1" applyAlignment="1">
      <alignment horizontal="left"/>
    </xf>
    <xf numFmtId="0" fontId="5" fillId="0" borderId="131" xfId="0" applyFont="1" applyBorder="1" applyAlignment="1">
      <alignment horizontal="left"/>
    </xf>
    <xf numFmtId="0" fontId="0" fillId="0" borderId="99" xfId="0" applyBorder="1" applyAlignment="1">
      <alignment vertical="center"/>
    </xf>
    <xf numFmtId="0" fontId="9" fillId="0" borderId="97" xfId="0" applyFont="1" applyBorder="1" applyAlignment="1">
      <alignment horizontal="right" vertical="center"/>
    </xf>
    <xf numFmtId="0" fontId="5" fillId="0" borderId="99" xfId="0" applyFont="1" applyBorder="1" applyAlignment="1">
      <alignment horizontal="left"/>
    </xf>
    <xf numFmtId="0" fontId="5" fillId="0" borderId="14" xfId="0" applyFont="1" applyBorder="1" applyAlignment="1">
      <alignment vertical="center"/>
    </xf>
    <xf numFmtId="0" fontId="0" fillId="0" borderId="14" xfId="0" applyFill="1" applyBorder="1" applyAlignment="1">
      <alignment horizontal="center"/>
    </xf>
    <xf numFmtId="0" fontId="0" fillId="0" borderId="0" xfId="0" applyFill="1" applyBorder="1" applyAlignment="1">
      <alignment horizontal="center"/>
    </xf>
    <xf numFmtId="164" fontId="3" fillId="3" borderId="36" xfId="1" applyNumberFormat="1" applyFont="1" applyFill="1" applyBorder="1" applyAlignment="1">
      <alignment horizontal="right" vertical="center"/>
    </xf>
    <xf numFmtId="164" fontId="3" fillId="3" borderId="9" xfId="1" applyNumberFormat="1" applyFont="1" applyFill="1" applyBorder="1"/>
    <xf numFmtId="164" fontId="3" fillId="3" borderId="35" xfId="1" applyNumberFormat="1" applyFont="1" applyFill="1" applyBorder="1" applyAlignment="1">
      <alignment vertical="center"/>
    </xf>
    <xf numFmtId="164" fontId="3" fillId="3" borderId="36" xfId="1" applyNumberFormat="1" applyFont="1" applyFill="1" applyBorder="1" applyAlignment="1">
      <alignment vertical="center"/>
    </xf>
    <xf numFmtId="164" fontId="3" fillId="3" borderId="9" xfId="1" applyNumberFormat="1" applyFont="1" applyFill="1" applyBorder="1" applyAlignment="1">
      <alignment vertical="center"/>
    </xf>
    <xf numFmtId="38" fontId="3" fillId="3" borderId="36" xfId="1" applyNumberFormat="1" applyFont="1" applyFill="1" applyBorder="1" applyAlignment="1">
      <alignment vertical="center"/>
    </xf>
    <xf numFmtId="0" fontId="3" fillId="3" borderId="35" xfId="0" applyFont="1" applyFill="1" applyBorder="1" applyAlignment="1">
      <alignment vertical="center"/>
    </xf>
    <xf numFmtId="0" fontId="3" fillId="3" borderId="36" xfId="0" applyFont="1" applyFill="1" applyBorder="1" applyAlignment="1">
      <alignment vertical="center"/>
    </xf>
    <xf numFmtId="43" fontId="3" fillId="3" borderId="84" xfId="1" applyFont="1" applyFill="1" applyBorder="1" applyAlignment="1">
      <alignment vertical="center"/>
    </xf>
    <xf numFmtId="164" fontId="0" fillId="5" borderId="36" xfId="1" applyNumberFormat="1" applyFont="1" applyFill="1" applyBorder="1" applyAlignment="1">
      <alignment vertical="center"/>
    </xf>
    <xf numFmtId="164" fontId="3" fillId="3" borderId="33" xfId="1" applyNumberFormat="1" applyFont="1" applyFill="1" applyBorder="1" applyAlignment="1">
      <alignment vertical="center"/>
    </xf>
    <xf numFmtId="164" fontId="3" fillId="3" borderId="35" xfId="1" applyNumberFormat="1" applyFont="1" applyFill="1" applyBorder="1" applyAlignment="1">
      <alignment horizontal="center" vertical="center" wrapText="1"/>
    </xf>
    <xf numFmtId="164" fontId="3" fillId="3" borderId="35" xfId="1" applyNumberFormat="1" applyFont="1" applyFill="1" applyBorder="1" applyAlignment="1">
      <alignment horizontal="right" vertical="center"/>
    </xf>
    <xf numFmtId="164" fontId="3" fillId="3" borderId="35" xfId="1" applyNumberFormat="1" applyFont="1" applyFill="1" applyBorder="1"/>
    <xf numFmtId="164" fontId="3" fillId="3" borderId="36" xfId="1" applyNumberFormat="1" applyFont="1" applyFill="1" applyBorder="1"/>
    <xf numFmtId="0" fontId="3" fillId="3" borderId="7" xfId="0" applyFont="1" applyFill="1" applyBorder="1" applyAlignment="1">
      <alignment vertical="center"/>
    </xf>
    <xf numFmtId="0" fontId="3" fillId="3" borderId="40" xfId="0" applyFont="1" applyFill="1" applyBorder="1" applyAlignment="1">
      <alignment vertical="center"/>
    </xf>
    <xf numFmtId="164" fontId="3" fillId="3" borderId="7" xfId="1" applyNumberFormat="1" applyFont="1" applyFill="1" applyBorder="1" applyAlignment="1">
      <alignment vertical="center"/>
    </xf>
    <xf numFmtId="164" fontId="3" fillId="3" borderId="40" xfId="1" applyNumberFormat="1" applyFont="1" applyFill="1" applyBorder="1" applyAlignment="1">
      <alignment vertical="center"/>
    </xf>
    <xf numFmtId="164" fontId="3" fillId="3" borderId="163" xfId="1" applyNumberFormat="1" applyFont="1" applyFill="1" applyBorder="1"/>
    <xf numFmtId="164" fontId="3" fillId="3" borderId="11" xfId="1" applyNumberFormat="1" applyFont="1" applyFill="1" applyBorder="1"/>
    <xf numFmtId="164" fontId="3" fillId="3" borderId="11" xfId="1" applyNumberFormat="1" applyFont="1" applyFill="1" applyBorder="1" applyAlignment="1">
      <alignment vertical="center"/>
    </xf>
    <xf numFmtId="43" fontId="3" fillId="3" borderId="33" xfId="1" applyFont="1" applyFill="1" applyBorder="1" applyAlignment="1">
      <alignment vertical="center"/>
    </xf>
    <xf numFmtId="164" fontId="3" fillId="3" borderId="35" xfId="1" applyNumberFormat="1" applyFont="1" applyFill="1" applyBorder="1" applyAlignment="1">
      <alignment horizontal="center" wrapText="1"/>
    </xf>
    <xf numFmtId="0" fontId="3" fillId="0" borderId="160" xfId="0" applyFont="1" applyFill="1" applyBorder="1" applyAlignment="1">
      <alignment horizontal="center"/>
    </xf>
    <xf numFmtId="0" fontId="3" fillId="0" borderId="13" xfId="0" applyFont="1" applyFill="1" applyBorder="1" applyAlignment="1">
      <alignment horizontal="center"/>
    </xf>
    <xf numFmtId="164" fontId="3" fillId="0" borderId="35" xfId="1" applyNumberFormat="1" applyFont="1" applyFill="1" applyBorder="1" applyAlignment="1">
      <alignment horizontal="center" vertical="center" wrapText="1"/>
    </xf>
    <xf numFmtId="164" fontId="3" fillId="0" borderId="35" xfId="1" applyNumberFormat="1" applyFont="1" applyFill="1" applyBorder="1" applyAlignment="1">
      <alignment horizontal="center" wrapText="1"/>
    </xf>
    <xf numFmtId="164" fontId="3" fillId="0" borderId="40" xfId="1" applyNumberFormat="1" applyFont="1" applyFill="1" applyBorder="1"/>
    <xf numFmtId="38" fontId="0" fillId="0" borderId="109" xfId="1" applyNumberFormat="1" applyFont="1" applyFill="1" applyBorder="1"/>
    <xf numFmtId="37" fontId="0" fillId="0" borderId="110" xfId="0" applyNumberFormat="1" applyBorder="1"/>
    <xf numFmtId="164" fontId="0" fillId="3" borderId="110" xfId="0" applyNumberFormat="1" applyFill="1" applyBorder="1"/>
    <xf numFmtId="0" fontId="0" fillId="0" borderId="120" xfId="0" applyFont="1" applyFill="1" applyBorder="1"/>
    <xf numFmtId="0" fontId="0" fillId="3" borderId="120" xfId="0" applyFont="1" applyFill="1" applyBorder="1" applyAlignment="1">
      <alignment horizontal="right"/>
    </xf>
    <xf numFmtId="0" fontId="0" fillId="0" borderId="97" xfId="0" applyBorder="1"/>
    <xf numFmtId="0" fontId="0" fillId="0" borderId="98" xfId="0" applyBorder="1"/>
    <xf numFmtId="0" fontId="3" fillId="0" borderId="97" xfId="0" applyFont="1" applyBorder="1" applyAlignment="1">
      <alignment horizontal="right"/>
    </xf>
    <xf numFmtId="0" fontId="0" fillId="0" borderId="1" xfId="0" applyBorder="1"/>
    <xf numFmtId="0" fontId="0" fillId="0" borderId="140" xfId="0" applyBorder="1"/>
    <xf numFmtId="0" fontId="0" fillId="0" borderId="108" xfId="0" applyBorder="1"/>
    <xf numFmtId="0" fontId="20" fillId="0" borderId="0" xfId="0" applyFont="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0" fillId="0" borderId="6" xfId="0" applyBorder="1" applyAlignment="1">
      <alignment horizontal="center" vertical="center"/>
    </xf>
    <xf numFmtId="164" fontId="0" fillId="0" borderId="76" xfId="1" applyNumberFormat="1" applyFont="1" applyFill="1" applyBorder="1" applyAlignment="1">
      <alignment horizontal="center" vertical="center" wrapText="1"/>
    </xf>
    <xf numFmtId="164" fontId="0" fillId="0" borderId="27" xfId="1" applyNumberFormat="1" applyFont="1" applyFill="1" applyBorder="1" applyAlignment="1">
      <alignment horizontal="center" vertical="center" wrapText="1"/>
    </xf>
    <xf numFmtId="0" fontId="0" fillId="13" borderId="205" xfId="0" applyFill="1" applyBorder="1"/>
    <xf numFmtId="0" fontId="0" fillId="13" borderId="99" xfId="0" applyFill="1" applyBorder="1"/>
    <xf numFmtId="0" fontId="0" fillId="13" borderId="95" xfId="0" applyFill="1" applyBorder="1"/>
    <xf numFmtId="164" fontId="0" fillId="0" borderId="14"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3" fontId="0" fillId="13" borderId="88" xfId="1" applyNumberFormat="1" applyFont="1" applyFill="1" applyBorder="1" applyAlignment="1">
      <alignment horizontal="center" vertical="center"/>
    </xf>
    <xf numFmtId="3" fontId="0" fillId="13" borderId="98" xfId="0" applyNumberFormat="1" applyFill="1" applyBorder="1" applyAlignment="1">
      <alignment horizontal="center" vertical="center"/>
    </xf>
    <xf numFmtId="3" fontId="0" fillId="13" borderId="206" xfId="0" applyNumberFormat="1" applyFill="1" applyBorder="1" applyAlignment="1">
      <alignment horizontal="center" vertical="center"/>
    </xf>
    <xf numFmtId="3" fontId="0" fillId="13" borderId="207" xfId="1" applyNumberFormat="1" applyFont="1" applyFill="1" applyBorder="1" applyAlignment="1">
      <alignment horizontal="center" vertical="center"/>
    </xf>
    <xf numFmtId="9" fontId="8" fillId="0" borderId="108" xfId="2" applyNumberFormat="1" applyFont="1" applyFill="1" applyBorder="1" applyAlignment="1">
      <alignment horizontal="center" vertical="center"/>
    </xf>
    <xf numFmtId="9" fontId="8" fillId="0" borderId="108" xfId="2" applyNumberFormat="1" applyFont="1" applyBorder="1" applyAlignment="1">
      <alignment horizontal="center"/>
    </xf>
    <xf numFmtId="9" fontId="8" fillId="0" borderId="177" xfId="2" applyNumberFormat="1" applyFont="1" applyFill="1" applyBorder="1" applyAlignment="1">
      <alignment horizontal="center"/>
    </xf>
    <xf numFmtId="173" fontId="9" fillId="0" borderId="182" xfId="1" applyNumberFormat="1" applyFont="1" applyFill="1" applyBorder="1" applyAlignment="1">
      <alignment horizontal="center"/>
    </xf>
    <xf numFmtId="173" fontId="9" fillId="0" borderId="208" xfId="2" applyNumberFormat="1" applyFont="1" applyFill="1" applyBorder="1" applyAlignment="1">
      <alignment horizontal="center"/>
    </xf>
    <xf numFmtId="173" fontId="9" fillId="0" borderId="209" xfId="2" applyNumberFormat="1" applyFont="1" applyFill="1" applyBorder="1" applyAlignment="1">
      <alignment horizontal="center"/>
    </xf>
    <xf numFmtId="0" fontId="0" fillId="0" borderId="108" xfId="0" applyBorder="1" applyAlignment="1">
      <alignment wrapText="1"/>
    </xf>
    <xf numFmtId="0" fontId="0" fillId="0" borderId="145" xfId="0" applyBorder="1" applyAlignment="1">
      <alignment wrapText="1"/>
    </xf>
    <xf numFmtId="38" fontId="0" fillId="0" borderId="109" xfId="1" applyNumberFormat="1" applyFont="1" applyFill="1" applyBorder="1" applyAlignment="1">
      <alignment horizontal="center" vertical="center"/>
    </xf>
    <xf numFmtId="38" fontId="0" fillId="0" borderId="110" xfId="1" applyNumberFormat="1" applyFont="1" applyFill="1" applyBorder="1" applyAlignment="1">
      <alignment horizontal="center" vertical="center"/>
    </xf>
    <xf numFmtId="0" fontId="0" fillId="11" borderId="108" xfId="0" applyFill="1" applyBorder="1" applyAlignment="1">
      <alignment vertical="center" wrapText="1"/>
    </xf>
    <xf numFmtId="38" fontId="0" fillId="11" borderId="109" xfId="0" applyNumberFormat="1" applyFont="1" applyFill="1" applyBorder="1" applyAlignment="1">
      <alignment horizontal="center" vertical="center" wrapText="1"/>
    </xf>
    <xf numFmtId="38" fontId="0" fillId="11" borderId="110" xfId="0" applyNumberFormat="1" applyFont="1" applyFill="1" applyBorder="1" applyAlignment="1">
      <alignment horizontal="center" vertical="center" wrapText="1"/>
    </xf>
    <xf numFmtId="0" fontId="0" fillId="11" borderId="108" xfId="0" applyFill="1" applyBorder="1" applyAlignment="1">
      <alignment horizontal="right" vertical="center" wrapText="1"/>
    </xf>
    <xf numFmtId="0" fontId="9" fillId="0" borderId="47" xfId="0" applyFont="1" applyBorder="1" applyAlignment="1">
      <alignment horizontal="left"/>
    </xf>
    <xf numFmtId="0" fontId="9" fillId="0" borderId="92" xfId="0" applyFont="1" applyBorder="1" applyAlignment="1">
      <alignment horizontal="left"/>
    </xf>
    <xf numFmtId="0" fontId="9" fillId="0" borderId="92" xfId="0" applyFont="1" applyBorder="1" applyAlignment="1">
      <alignment horizontal="left" wrapText="1"/>
    </xf>
    <xf numFmtId="173" fontId="10" fillId="0" borderId="89" xfId="1" applyNumberFormat="1" applyFont="1" applyBorder="1" applyAlignment="1">
      <alignment horizontal="center" vertical="center"/>
    </xf>
    <xf numFmtId="173" fontId="0" fillId="0" borderId="89" xfId="1" applyNumberFormat="1" applyFont="1" applyBorder="1" applyAlignment="1">
      <alignment horizontal="center"/>
    </xf>
    <xf numFmtId="38" fontId="0" fillId="0" borderId="89" xfId="1" applyNumberFormat="1" applyFont="1" applyBorder="1" applyAlignment="1"/>
    <xf numFmtId="38" fontId="0" fillId="0" borderId="89" xfId="1" applyNumberFormat="1" applyFont="1" applyBorder="1"/>
    <xf numFmtId="38" fontId="25" fillId="0" borderId="89" xfId="1" applyNumberFormat="1" applyFont="1" applyBorder="1"/>
    <xf numFmtId="38" fontId="9" fillId="5" borderId="89" xfId="1" applyNumberFormat="1" applyFont="1" applyFill="1" applyBorder="1"/>
    <xf numFmtId="38" fontId="18" fillId="0" borderId="89" xfId="1" applyNumberFormat="1" applyFont="1" applyBorder="1"/>
    <xf numFmtId="38" fontId="0" fillId="0" borderId="89" xfId="1" applyNumberFormat="1" applyFont="1" applyFill="1" applyBorder="1"/>
    <xf numFmtId="38" fontId="3" fillId="13" borderId="89" xfId="1" applyNumberFormat="1" applyFont="1" applyFill="1" applyBorder="1"/>
    <xf numFmtId="0" fontId="0" fillId="15" borderId="94" xfId="0" applyFill="1" applyBorder="1"/>
    <xf numFmtId="0" fontId="7" fillId="0" borderId="94" xfId="0" applyFont="1" applyBorder="1"/>
    <xf numFmtId="0" fontId="14" fillId="0" borderId="99" xfId="0" applyFont="1" applyBorder="1"/>
    <xf numFmtId="0" fontId="9" fillId="0" borderId="97" xfId="0" applyFont="1" applyBorder="1" applyAlignment="1">
      <alignment horizontal="right"/>
    </xf>
    <xf numFmtId="0" fontId="0" fillId="0" borderId="97" xfId="0" applyBorder="1" applyAlignment="1">
      <alignment horizontal="left"/>
    </xf>
    <xf numFmtId="0" fontId="0" fillId="0" borderId="97" xfId="0" applyBorder="1" applyAlignment="1">
      <alignment horizontal="right"/>
    </xf>
    <xf numFmtId="0" fontId="0" fillId="0" borderId="13" xfId="0" applyBorder="1" applyAlignment="1">
      <alignment horizontal="right"/>
    </xf>
    <xf numFmtId="38" fontId="0" fillId="0" borderId="13" xfId="1" applyNumberFormat="1" applyFont="1" applyBorder="1"/>
    <xf numFmtId="0" fontId="7" fillId="0" borderId="92" xfId="0" applyFont="1" applyBorder="1"/>
    <xf numFmtId="0" fontId="0" fillId="0" borderId="100" xfId="0" applyBorder="1"/>
    <xf numFmtId="38" fontId="0" fillId="0" borderId="93" xfId="1" applyNumberFormat="1" applyFont="1" applyBorder="1"/>
    <xf numFmtId="38" fontId="0" fillId="0" borderId="91" xfId="1" applyNumberFormat="1" applyFont="1" applyBorder="1" applyAlignment="1">
      <alignment vertical="center"/>
    </xf>
    <xf numFmtId="0" fontId="14" fillId="0" borderId="97" xfId="0" applyFont="1" applyBorder="1"/>
    <xf numFmtId="0" fontId="0" fillId="0" borderId="131" xfId="0" applyBorder="1"/>
    <xf numFmtId="0" fontId="0" fillId="0" borderId="102" xfId="0" applyBorder="1" applyAlignment="1">
      <alignment horizontal="right" wrapText="1"/>
    </xf>
    <xf numFmtId="38" fontId="21" fillId="13" borderId="89" xfId="1" applyNumberFormat="1" applyFont="1" applyFill="1" applyBorder="1" applyAlignment="1">
      <alignment horizontal="center" vertical="center"/>
    </xf>
    <xf numFmtId="0" fontId="15" fillId="0" borderId="108" xfId="0" applyFont="1" applyBorder="1"/>
    <xf numFmtId="40" fontId="46" fillId="0" borderId="109" xfId="1" applyNumberFormat="1" applyFont="1" applyBorder="1" applyAlignment="1">
      <alignment horizontal="center"/>
    </xf>
    <xf numFmtId="40" fontId="15" fillId="0" borderId="112" xfId="1" applyNumberFormat="1" applyFont="1" applyBorder="1" applyAlignment="1">
      <alignment horizontal="center"/>
    </xf>
    <xf numFmtId="3" fontId="0" fillId="13" borderId="210" xfId="1" applyNumberFormat="1" applyFont="1" applyFill="1" applyBorder="1" applyAlignment="1">
      <alignment horizontal="center"/>
    </xf>
    <xf numFmtId="3" fontId="0" fillId="13" borderId="211" xfId="1" applyNumberFormat="1" applyFont="1" applyFill="1" applyBorder="1" applyAlignment="1">
      <alignment horizontal="center"/>
    </xf>
    <xf numFmtId="0" fontId="0" fillId="13" borderId="212" xfId="0" applyFill="1" applyBorder="1"/>
    <xf numFmtId="0" fontId="0" fillId="13" borderId="213" xfId="0" applyFill="1" applyBorder="1"/>
    <xf numFmtId="0" fontId="0" fillId="13" borderId="214" xfId="0" applyFill="1" applyBorder="1"/>
    <xf numFmtId="3" fontId="0" fillId="13" borderId="215" xfId="1" applyNumberFormat="1" applyFont="1" applyFill="1" applyBorder="1" applyAlignment="1">
      <alignment horizontal="center" vertical="center"/>
    </xf>
    <xf numFmtId="3" fontId="0" fillId="13" borderId="216" xfId="0" applyNumberFormat="1" applyFill="1" applyBorder="1" applyAlignment="1">
      <alignment horizontal="center" vertical="center"/>
    </xf>
    <xf numFmtId="0" fontId="0" fillId="13" borderId="217" xfId="0" applyFill="1" applyBorder="1" applyAlignment="1">
      <alignment vertical="center"/>
    </xf>
    <xf numFmtId="0" fontId="0" fillId="13" borderId="38" xfId="0" applyFill="1" applyBorder="1"/>
    <xf numFmtId="0" fontId="0" fillId="13" borderId="59" xfId="0" applyFill="1" applyBorder="1"/>
    <xf numFmtId="43" fontId="0" fillId="6" borderId="1" xfId="1" applyFont="1" applyFill="1" applyBorder="1"/>
    <xf numFmtId="3" fontId="0" fillId="6" borderId="7" xfId="0" applyNumberFormat="1" applyFill="1" applyBorder="1" applyAlignment="1">
      <alignment horizontal="center"/>
    </xf>
    <xf numFmtId="164" fontId="0" fillId="6" borderId="7" xfId="1" applyNumberFormat="1" applyFont="1" applyFill="1" applyBorder="1"/>
    <xf numFmtId="43" fontId="0" fillId="6" borderId="29" xfId="1" applyNumberFormat="1" applyFont="1" applyFill="1" applyBorder="1"/>
    <xf numFmtId="164" fontId="0" fillId="6" borderId="8" xfId="1" applyNumberFormat="1" applyFont="1" applyFill="1" applyBorder="1"/>
    <xf numFmtId="43" fontId="0" fillId="6" borderId="8" xfId="1" applyNumberFormat="1" applyFont="1" applyFill="1" applyBorder="1"/>
    <xf numFmtId="169" fontId="0" fillId="0" borderId="5" xfId="1" applyNumberFormat="1" applyFont="1" applyBorder="1" applyAlignment="1">
      <alignment horizontal="center"/>
    </xf>
    <xf numFmtId="0" fontId="0" fillId="0" borderId="218" xfId="0" applyBorder="1"/>
    <xf numFmtId="0" fontId="0" fillId="0" borderId="219" xfId="0" applyBorder="1"/>
    <xf numFmtId="0" fontId="8" fillId="0" borderId="0" xfId="0" applyFont="1" applyBorder="1" applyAlignment="1">
      <alignment horizontal="center" vertical="center"/>
    </xf>
    <xf numFmtId="49" fontId="31" fillId="0" borderId="177" xfId="0" applyNumberFormat="1" applyFont="1" applyBorder="1" applyAlignment="1">
      <alignment horizontal="right" vertical="top"/>
    </xf>
    <xf numFmtId="49" fontId="31" fillId="0" borderId="153" xfId="0" applyNumberFormat="1" applyFont="1" applyBorder="1" applyAlignment="1">
      <alignment horizontal="right" vertical="top"/>
    </xf>
    <xf numFmtId="0" fontId="8" fillId="0" borderId="130" xfId="0" applyFont="1" applyBorder="1" applyAlignment="1">
      <alignment vertical="center" wrapText="1"/>
    </xf>
    <xf numFmtId="49" fontId="31" fillId="0" borderId="135" xfId="0" applyNumberFormat="1" applyFont="1" applyBorder="1" applyAlignment="1">
      <alignment horizontal="right" vertical="top"/>
    </xf>
    <xf numFmtId="0" fontId="8" fillId="0" borderId="138" xfId="0" applyFont="1" applyBorder="1" applyAlignment="1">
      <alignment vertical="center" wrapText="1"/>
    </xf>
    <xf numFmtId="0" fontId="0" fillId="0" borderId="0" xfId="0" applyBorder="1" applyAlignment="1">
      <alignment horizontal="right" vertical="center"/>
    </xf>
    <xf numFmtId="2" fontId="0" fillId="8" borderId="0" xfId="0" applyNumberFormat="1" applyFill="1" applyBorder="1" applyAlignment="1">
      <alignment horizontal="center" vertical="center"/>
    </xf>
    <xf numFmtId="0" fontId="0" fillId="9" borderId="0" xfId="0" applyFill="1" applyBorder="1" applyAlignment="1">
      <alignment horizontal="center" vertical="center"/>
    </xf>
    <xf numFmtId="2" fontId="0" fillId="10" borderId="0" xfId="0" applyNumberFormat="1" applyFill="1" applyBorder="1" applyAlignment="1">
      <alignment horizontal="center" vertical="center"/>
    </xf>
    <xf numFmtId="0" fontId="0" fillId="0" borderId="129" xfId="0" applyFill="1" applyBorder="1" applyAlignment="1">
      <alignment horizontal="left" vertical="top"/>
    </xf>
    <xf numFmtId="49" fontId="31" fillId="0" borderId="127" xfId="0" applyNumberFormat="1" applyFont="1" applyBorder="1" applyAlignment="1">
      <alignment horizontal="right" vertical="top"/>
    </xf>
    <xf numFmtId="0" fontId="8" fillId="0" borderId="153" xfId="0" applyFont="1" applyBorder="1"/>
    <xf numFmtId="0" fontId="0" fillId="0" borderId="220" xfId="0" applyBorder="1" applyAlignment="1">
      <alignment horizontal="center"/>
    </xf>
    <xf numFmtId="0" fontId="0" fillId="0" borderId="221" xfId="0" applyBorder="1"/>
    <xf numFmtId="0" fontId="0" fillId="0" borderId="222" xfId="0" applyBorder="1" applyAlignment="1">
      <alignment horizontal="center"/>
    </xf>
    <xf numFmtId="49" fontId="8" fillId="0" borderId="153" xfId="0" applyNumberFormat="1" applyFont="1" applyBorder="1"/>
    <xf numFmtId="49" fontId="8" fillId="0" borderId="135" xfId="0" applyNumberFormat="1" applyFont="1" applyBorder="1"/>
    <xf numFmtId="0" fontId="8" fillId="0" borderId="130" xfId="0" applyFont="1" applyBorder="1"/>
    <xf numFmtId="0" fontId="8" fillId="0" borderId="138" xfId="0" applyFont="1" applyBorder="1"/>
    <xf numFmtId="0" fontId="0" fillId="0" borderId="223" xfId="0" applyBorder="1"/>
    <xf numFmtId="0" fontId="0" fillId="0" borderId="223" xfId="0" applyBorder="1" applyAlignment="1">
      <alignment horizontal="center"/>
    </xf>
    <xf numFmtId="0" fontId="15" fillId="0" borderId="1" xfId="0" applyFont="1" applyBorder="1" applyAlignment="1">
      <alignment horizontal="left"/>
    </xf>
    <xf numFmtId="0" fontId="0" fillId="0" borderId="97" xfId="0" applyFont="1" applyBorder="1"/>
    <xf numFmtId="164" fontId="0" fillId="0" borderId="208" xfId="1" applyNumberFormat="1" applyFont="1" applyFill="1" applyBorder="1" applyAlignment="1">
      <alignment horizontal="center"/>
    </xf>
    <xf numFmtId="164" fontId="0" fillId="0" borderId="209" xfId="0" applyNumberFormat="1" applyBorder="1"/>
    <xf numFmtId="164" fontId="0" fillId="0" borderId="209" xfId="1" applyNumberFormat="1" applyFont="1" applyFill="1" applyBorder="1" applyAlignment="1">
      <alignment horizontal="center"/>
    </xf>
    <xf numFmtId="167" fontId="0" fillId="0" borderId="224" xfId="2" applyNumberFormat="1" applyFont="1" applyFill="1" applyBorder="1" applyAlignment="1">
      <alignment horizontal="center"/>
    </xf>
    <xf numFmtId="167" fontId="0" fillId="0" borderId="182" xfId="2" applyNumberFormat="1" applyFont="1" applyFill="1" applyBorder="1" applyAlignment="1">
      <alignment horizontal="center"/>
    </xf>
    <xf numFmtId="43" fontId="0" fillId="0" borderId="209" xfId="0" applyNumberFormat="1" applyBorder="1"/>
    <xf numFmtId="0" fontId="0" fillId="0" borderId="175" xfId="0" applyFill="1" applyBorder="1"/>
    <xf numFmtId="37" fontId="8" fillId="0" borderId="147" xfId="1" applyNumberFormat="1" applyFont="1" applyFill="1" applyBorder="1" applyAlignment="1">
      <alignment horizontal="center"/>
    </xf>
    <xf numFmtId="38" fontId="8" fillId="0" borderId="157" xfId="1" applyNumberFormat="1" applyFont="1" applyFill="1" applyBorder="1" applyAlignment="1">
      <alignment horizontal="center"/>
    </xf>
    <xf numFmtId="2" fontId="0" fillId="8" borderId="98" xfId="0" applyNumberFormat="1" applyFill="1" applyBorder="1" applyAlignment="1">
      <alignment horizontal="center"/>
    </xf>
    <xf numFmtId="0" fontId="0" fillId="9" borderId="98" xfId="0" applyFill="1" applyBorder="1" applyAlignment="1">
      <alignment horizontal="center"/>
    </xf>
    <xf numFmtId="2" fontId="0" fillId="8" borderId="181" xfId="0" applyNumberFormat="1" applyFill="1" applyBorder="1" applyAlignment="1">
      <alignment horizontal="center"/>
    </xf>
    <xf numFmtId="0" fontId="0" fillId="9" borderId="181" xfId="0" applyFill="1" applyBorder="1" applyAlignment="1">
      <alignment horizontal="center"/>
    </xf>
    <xf numFmtId="2" fontId="0" fillId="10" borderId="205" xfId="0" applyNumberFormat="1" applyFill="1" applyBorder="1" applyAlignment="1">
      <alignment horizontal="center"/>
    </xf>
    <xf numFmtId="2" fontId="0" fillId="10" borderId="225" xfId="0" applyNumberFormat="1" applyFill="1" applyBorder="1" applyAlignment="1">
      <alignment horizontal="center"/>
    </xf>
    <xf numFmtId="39" fontId="8" fillId="0" borderId="88" xfId="1" applyNumberFormat="1" applyFont="1" applyFill="1" applyBorder="1" applyAlignment="1">
      <alignment horizontal="center"/>
    </xf>
    <xf numFmtId="39" fontId="8" fillId="0" borderId="90" xfId="1" applyNumberFormat="1" applyFont="1" applyFill="1" applyBorder="1" applyAlignment="1">
      <alignment horizontal="center"/>
    </xf>
    <xf numFmtId="40" fontId="8" fillId="0" borderId="89" xfId="1" applyNumberFormat="1" applyFont="1" applyFill="1" applyBorder="1" applyAlignment="1">
      <alignment horizontal="center"/>
    </xf>
    <xf numFmtId="40" fontId="8" fillId="0" borderId="91" xfId="1" applyNumberFormat="1" applyFont="1" applyFill="1" applyBorder="1" applyAlignment="1">
      <alignment horizontal="center"/>
    </xf>
    <xf numFmtId="0" fontId="0" fillId="0" borderId="226" xfId="0" applyBorder="1" applyAlignment="1">
      <alignment vertical="center" wrapText="1"/>
    </xf>
    <xf numFmtId="0" fontId="5" fillId="0" borderId="69" xfId="0" applyFont="1" applyBorder="1" applyAlignment="1">
      <alignment horizontal="center" vertical="top" wrapText="1"/>
    </xf>
    <xf numFmtId="49" fontId="33" fillId="0" borderId="94" xfId="0" applyNumberFormat="1" applyFont="1" applyBorder="1" applyAlignment="1">
      <alignment horizontal="left"/>
    </xf>
    <xf numFmtId="49" fontId="33" fillId="0" borderId="131" xfId="0" applyNumberFormat="1" applyFont="1" applyBorder="1" applyAlignment="1">
      <alignment horizontal="left"/>
    </xf>
    <xf numFmtId="0" fontId="0" fillId="0" borderId="102" xfId="0" applyFont="1" applyBorder="1"/>
    <xf numFmtId="0" fontId="13" fillId="0" borderId="32" xfId="0" applyFont="1" applyBorder="1" applyAlignment="1">
      <alignment horizontal="center" wrapText="1"/>
    </xf>
    <xf numFmtId="0" fontId="13" fillId="0" borderId="33" xfId="0" applyFont="1" applyBorder="1" applyAlignment="1">
      <alignment horizontal="center" wrapText="1"/>
    </xf>
    <xf numFmtId="0" fontId="9" fillId="7" borderId="11" xfId="0" applyFont="1" applyFill="1" applyBorder="1" applyAlignment="1">
      <alignment horizontal="center" vertical="center" wrapText="1"/>
    </xf>
    <xf numFmtId="0" fontId="9" fillId="7" borderId="9" xfId="0" applyFont="1" applyFill="1" applyBorder="1" applyAlignment="1">
      <alignment horizontal="center" vertical="center" wrapText="1"/>
    </xf>
    <xf numFmtId="49" fontId="15" fillId="0" borderId="131" xfId="1" applyNumberFormat="1" applyFont="1" applyFill="1" applyBorder="1" applyAlignment="1">
      <alignment vertical="center" wrapText="1"/>
    </xf>
    <xf numFmtId="49" fontId="15" fillId="0" borderId="132" xfId="1" applyNumberFormat="1" applyFont="1" applyFill="1" applyBorder="1" applyAlignment="1">
      <alignment vertical="center" wrapText="1"/>
    </xf>
    <xf numFmtId="0" fontId="5" fillId="0" borderId="189" xfId="0" applyFont="1" applyBorder="1" applyAlignment="1">
      <alignment horizontal="center"/>
    </xf>
    <xf numFmtId="0" fontId="5" fillId="0" borderId="190" xfId="0" applyFont="1" applyBorder="1" applyAlignment="1">
      <alignment horizontal="center"/>
    </xf>
    <xf numFmtId="164" fontId="5" fillId="0" borderId="189" xfId="1" applyNumberFormat="1" applyFont="1" applyBorder="1" applyAlignment="1">
      <alignment horizontal="center"/>
    </xf>
    <xf numFmtId="164" fontId="5" fillId="0" borderId="190" xfId="1" applyNumberFormat="1" applyFont="1" applyBorder="1" applyAlignment="1">
      <alignment horizontal="center"/>
    </xf>
    <xf numFmtId="0" fontId="7" fillId="0" borderId="92" xfId="0" applyFont="1" applyBorder="1" applyAlignment="1">
      <alignment horizontal="center"/>
    </xf>
    <xf numFmtId="0" fontId="7" fillId="0" borderId="100" xfId="0" applyFont="1" applyBorder="1" applyAlignment="1">
      <alignment horizontal="center"/>
    </xf>
    <xf numFmtId="0" fontId="7" fillId="0" borderId="93" xfId="0" applyFont="1" applyBorder="1" applyAlignment="1">
      <alignment horizontal="center"/>
    </xf>
    <xf numFmtId="0" fontId="0" fillId="0" borderId="97" xfId="0" applyFill="1" applyBorder="1" applyAlignment="1"/>
    <xf numFmtId="0" fontId="0" fillId="0" borderId="98" xfId="0" applyFill="1" applyBorder="1" applyAlignment="1"/>
    <xf numFmtId="0" fontId="0" fillId="0" borderId="97" xfId="0" applyBorder="1"/>
    <xf numFmtId="0" fontId="0" fillId="0" borderId="98" xfId="0" applyBorder="1"/>
    <xf numFmtId="0" fontId="0" fillId="0" borderId="97" xfId="0" applyBorder="1" applyAlignment="1">
      <alignment wrapText="1"/>
    </xf>
    <xf numFmtId="0" fontId="0" fillId="0" borderId="98" xfId="0" applyBorder="1" applyAlignment="1">
      <alignment wrapText="1"/>
    </xf>
    <xf numFmtId="0" fontId="0" fillId="0" borderId="97" xfId="0" applyFill="1" applyBorder="1"/>
    <xf numFmtId="0" fontId="0" fillId="0" borderId="98" xfId="0" applyFill="1" applyBorder="1"/>
    <xf numFmtId="0" fontId="3" fillId="0" borderId="97" xfId="0" applyFont="1" applyBorder="1" applyAlignment="1">
      <alignment horizontal="right"/>
    </xf>
    <xf numFmtId="0" fontId="3" fillId="0" borderId="98" xfId="0" applyFont="1" applyBorder="1" applyAlignment="1">
      <alignment horizontal="right"/>
    </xf>
    <xf numFmtId="0" fontId="0" fillId="0" borderId="97" xfId="0" applyFont="1" applyBorder="1" applyAlignment="1">
      <alignment wrapText="1"/>
    </xf>
    <xf numFmtId="0" fontId="0" fillId="0" borderId="98" xfId="0" applyFont="1" applyBorder="1" applyAlignment="1">
      <alignment wrapText="1"/>
    </xf>
    <xf numFmtId="0" fontId="7" fillId="2" borderId="182" xfId="0" applyFont="1" applyFill="1" applyBorder="1"/>
    <xf numFmtId="0" fontId="7" fillId="2" borderId="192" xfId="0" applyFont="1" applyFill="1" applyBorder="1"/>
    <xf numFmtId="0" fontId="0" fillId="0" borderId="97" xfId="0" applyFont="1" applyBorder="1"/>
    <xf numFmtId="0" fontId="0" fillId="0" borderId="98" xfId="0" applyFont="1" applyBorder="1"/>
    <xf numFmtId="0" fontId="0" fillId="0" borderId="97" xfId="0" applyFont="1" applyFill="1" applyBorder="1"/>
    <xf numFmtId="0" fontId="0" fillId="0" borderId="98" xfId="0" applyFont="1" applyFill="1" applyBorder="1"/>
    <xf numFmtId="0" fontId="0" fillId="0" borderId="97" xfId="0" applyFont="1" applyFill="1" applyBorder="1" applyAlignment="1"/>
    <xf numFmtId="0" fontId="0" fillId="0" borderId="98" xfId="0" applyFont="1" applyFill="1" applyBorder="1" applyAlignment="1"/>
    <xf numFmtId="0" fontId="44" fillId="0" borderId="178" xfId="0" applyFont="1" applyBorder="1" applyAlignment="1">
      <alignment horizontal="center" vertical="center" wrapText="1"/>
    </xf>
    <xf numFmtId="0" fontId="44" fillId="0" borderId="179" xfId="0" applyFont="1" applyBorder="1" applyAlignment="1">
      <alignment horizontal="center" vertical="center"/>
    </xf>
    <xf numFmtId="0" fontId="44" fillId="0" borderId="180" xfId="0" applyFont="1" applyBorder="1" applyAlignment="1">
      <alignment horizontal="center" vertical="center"/>
    </xf>
    <xf numFmtId="0" fontId="9" fillId="0" borderId="148" xfId="0" applyFont="1" applyBorder="1" applyAlignment="1">
      <alignment horizontal="center"/>
    </xf>
    <xf numFmtId="0" fontId="9" fillId="0" borderId="191" xfId="0" applyFont="1" applyBorder="1" applyAlignment="1">
      <alignment horizontal="center"/>
    </xf>
    <xf numFmtId="0" fontId="38" fillId="15" borderId="136" xfId="0" applyFont="1" applyFill="1" applyBorder="1" applyAlignment="1">
      <alignment horizontal="center" vertical="center"/>
    </xf>
    <xf numFmtId="0" fontId="38" fillId="15" borderId="134" xfId="0" applyFont="1" applyFill="1" applyBorder="1" applyAlignment="1">
      <alignment horizontal="center" vertical="center"/>
    </xf>
    <xf numFmtId="0" fontId="38" fillId="15" borderId="137" xfId="0" applyFont="1" applyFill="1" applyBorder="1" applyAlignment="1">
      <alignment horizontal="center" vertical="center"/>
    </xf>
    <xf numFmtId="0" fontId="38" fillId="15" borderId="108" xfId="0" applyFont="1" applyFill="1" applyBorder="1" applyAlignment="1">
      <alignment horizontal="center" vertical="center"/>
    </xf>
    <xf numFmtId="0" fontId="38" fillId="15" borderId="109" xfId="0" applyFont="1" applyFill="1" applyBorder="1" applyAlignment="1">
      <alignment horizontal="center" vertical="center"/>
    </xf>
    <xf numFmtId="0" fontId="38" fillId="15" borderId="110" xfId="0" applyFont="1" applyFill="1" applyBorder="1" applyAlignment="1">
      <alignment horizontal="center" vertical="center"/>
    </xf>
    <xf numFmtId="0" fontId="0" fillId="0" borderId="101" xfId="0" applyFont="1" applyBorder="1" applyAlignment="1">
      <alignment horizontal="right"/>
    </xf>
    <xf numFmtId="0" fontId="0" fillId="0" borderId="102" xfId="0" applyFont="1" applyBorder="1" applyAlignment="1">
      <alignment horizontal="right"/>
    </xf>
    <xf numFmtId="38" fontId="0" fillId="0" borderId="185" xfId="0" applyNumberFormat="1" applyFont="1" applyBorder="1" applyAlignment="1">
      <alignment horizontal="center"/>
    </xf>
    <xf numFmtId="38" fontId="0" fillId="0" borderId="186" xfId="0" applyNumberFormat="1" applyFont="1" applyBorder="1" applyAlignment="1">
      <alignment horizontal="center"/>
    </xf>
    <xf numFmtId="38" fontId="0" fillId="0" borderId="187" xfId="0" applyNumberFormat="1" applyFont="1" applyBorder="1" applyAlignment="1">
      <alignment horizontal="center"/>
    </xf>
    <xf numFmtId="38" fontId="0" fillId="0" borderId="188" xfId="0" applyNumberFormat="1" applyFont="1" applyBorder="1" applyAlignment="1">
      <alignment horizontal="center"/>
    </xf>
    <xf numFmtId="0" fontId="0" fillId="0" borderId="99" xfId="0" applyFont="1" applyBorder="1" applyAlignment="1">
      <alignment horizontal="right"/>
    </xf>
    <xf numFmtId="0" fontId="0" fillId="0" borderId="97" xfId="0" applyFont="1" applyBorder="1" applyAlignment="1">
      <alignment horizontal="right"/>
    </xf>
    <xf numFmtId="0" fontId="7" fillId="2" borderId="195" xfId="0" applyFont="1" applyFill="1" applyBorder="1"/>
    <xf numFmtId="0" fontId="7" fillId="2" borderId="196" xfId="0" applyFont="1" applyFill="1" applyBorder="1"/>
    <xf numFmtId="0" fontId="7" fillId="2" borderId="197" xfId="0" applyFont="1" applyFill="1" applyBorder="1"/>
    <xf numFmtId="0" fontId="9" fillId="0" borderId="97" xfId="0" applyFont="1" applyBorder="1" applyAlignment="1">
      <alignment horizontal="right" vertical="center"/>
    </xf>
    <xf numFmtId="0" fontId="9" fillId="0" borderId="98" xfId="0" applyFont="1" applyBorder="1" applyAlignment="1">
      <alignment horizontal="right" vertical="center"/>
    </xf>
    <xf numFmtId="0" fontId="0" fillId="0" borderId="97" xfId="0" applyFont="1" applyBorder="1" applyAlignment="1">
      <alignment horizontal="left"/>
    </xf>
    <xf numFmtId="0" fontId="0" fillId="0" borderId="98" xfId="0" applyFont="1" applyBorder="1" applyAlignment="1">
      <alignment horizontal="left"/>
    </xf>
    <xf numFmtId="0" fontId="0" fillId="0" borderId="97" xfId="0" applyBorder="1" applyAlignment="1"/>
    <xf numFmtId="0" fontId="0" fillId="0" borderId="98" xfId="0" applyBorder="1" applyAlignment="1"/>
    <xf numFmtId="38" fontId="0" fillId="0" borderId="187" xfId="0" applyNumberFormat="1" applyBorder="1" applyAlignment="1">
      <alignment horizontal="center"/>
    </xf>
    <xf numFmtId="38" fontId="0" fillId="0" borderId="188" xfId="0" applyNumberFormat="1" applyBorder="1" applyAlignment="1">
      <alignment horizontal="center"/>
    </xf>
    <xf numFmtId="38" fontId="0" fillId="0" borderId="185" xfId="0" applyNumberFormat="1" applyBorder="1" applyAlignment="1">
      <alignment horizontal="center"/>
    </xf>
    <xf numFmtId="38" fontId="0" fillId="0" borderId="186" xfId="0" applyNumberFormat="1" applyBorder="1" applyAlignment="1">
      <alignment horizontal="center"/>
    </xf>
    <xf numFmtId="38" fontId="0" fillId="0" borderId="94" xfId="0" applyNumberFormat="1" applyBorder="1" applyAlignment="1">
      <alignment horizontal="center"/>
    </xf>
    <xf numFmtId="38" fontId="0" fillId="0" borderId="95" xfId="0" applyNumberFormat="1" applyBorder="1" applyAlignment="1">
      <alignment horizontal="center"/>
    </xf>
    <xf numFmtId="0" fontId="0" fillId="0" borderId="13" xfId="0" applyFont="1" applyFill="1" applyBorder="1" applyAlignment="1">
      <alignment horizontal="center" vertical="top"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0" borderId="11" xfId="0" applyFill="1" applyBorder="1" applyAlignment="1">
      <alignment horizontal="right" vertical="center"/>
    </xf>
    <xf numFmtId="0" fontId="0" fillId="0" borderId="1" xfId="0" applyFill="1" applyBorder="1" applyAlignment="1">
      <alignment horizontal="right" vertical="center"/>
    </xf>
    <xf numFmtId="43" fontId="3" fillId="3" borderId="12" xfId="1" applyFont="1" applyFill="1" applyBorder="1" applyAlignment="1">
      <alignment horizontal="right" vertical="center"/>
    </xf>
    <xf numFmtId="43" fontId="0" fillId="3" borderId="13" xfId="1" applyFont="1" applyFill="1" applyBorder="1" applyAlignment="1">
      <alignment horizontal="right" vertical="center"/>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0" fillId="0" borderId="39" xfId="0" applyFill="1" applyBorder="1" applyAlignment="1">
      <alignment horizontal="right" vertical="center"/>
    </xf>
    <xf numFmtId="0" fontId="0" fillId="0" borderId="7" xfId="0" applyFill="1" applyBorder="1" applyAlignment="1">
      <alignment horizontal="right" vertical="center"/>
    </xf>
    <xf numFmtId="0" fontId="0" fillId="7" borderId="11" xfId="0" applyFill="1" applyBorder="1"/>
    <xf numFmtId="0" fontId="0" fillId="7" borderId="1" xfId="0" applyFill="1" applyBorder="1"/>
    <xf numFmtId="0" fontId="0" fillId="7" borderId="49" xfId="0" applyFill="1" applyBorder="1"/>
    <xf numFmtId="0" fontId="0" fillId="7" borderId="58" xfId="0" applyFill="1" applyBorder="1"/>
    <xf numFmtId="0" fontId="0" fillId="7" borderId="3" xfId="0" applyFill="1" applyBorder="1"/>
    <xf numFmtId="0" fontId="0" fillId="7" borderId="4" xfId="0" applyFill="1" applyBorder="1"/>
    <xf numFmtId="0" fontId="0" fillId="5" borderId="11" xfId="0" applyFill="1" applyBorder="1" applyAlignment="1">
      <alignment horizontal="right" vertical="center"/>
    </xf>
    <xf numFmtId="0" fontId="0" fillId="5" borderId="1" xfId="0" applyFill="1" applyBorder="1" applyAlignment="1">
      <alignment horizontal="right" vertical="center"/>
    </xf>
    <xf numFmtId="0" fontId="6" fillId="0" borderId="11" xfId="0" applyFont="1" applyBorder="1" applyAlignment="1">
      <alignment horizontal="center"/>
    </xf>
    <xf numFmtId="0" fontId="6" fillId="0" borderId="1" xfId="0" applyFont="1" applyBorder="1" applyAlignment="1">
      <alignment horizontal="center"/>
    </xf>
    <xf numFmtId="0" fontId="3" fillId="3" borderId="37" xfId="0" applyFont="1" applyFill="1" applyBorder="1" applyAlignment="1">
      <alignment horizontal="right" vertical="center"/>
    </xf>
    <xf numFmtId="0" fontId="3" fillId="3" borderId="59" xfId="0" applyFont="1" applyFill="1" applyBorder="1" applyAlignment="1">
      <alignment horizontal="right" vertical="center"/>
    </xf>
    <xf numFmtId="0" fontId="3" fillId="3" borderId="34" xfId="0" applyFont="1" applyFill="1" applyBorder="1" applyAlignment="1">
      <alignment horizontal="right" vertical="center"/>
    </xf>
    <xf numFmtId="0" fontId="3" fillId="3" borderId="35"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 xfId="0" applyFont="1" applyFill="1" applyBorder="1" applyAlignment="1">
      <alignment horizontal="right" vertical="center"/>
    </xf>
    <xf numFmtId="0" fontId="0" fillId="0" borderId="11" xfId="0" applyBorder="1" applyAlignment="1">
      <alignment horizontal="right" vertical="center"/>
    </xf>
    <xf numFmtId="0" fontId="0" fillId="0" borderId="1" xfId="0" applyBorder="1" applyAlignment="1">
      <alignment horizontal="right" vertical="center"/>
    </xf>
    <xf numFmtId="0" fontId="0" fillId="0" borderId="49" xfId="0" applyFont="1" applyFill="1" applyBorder="1" applyAlignment="1">
      <alignment horizontal="right"/>
    </xf>
    <xf numFmtId="0" fontId="0" fillId="0" borderId="3" xfId="0" applyFont="1" applyFill="1" applyBorder="1" applyAlignment="1">
      <alignment horizontal="right"/>
    </xf>
    <xf numFmtId="0" fontId="0" fillId="0" borderId="4" xfId="0" applyFont="1" applyFill="1" applyBorder="1" applyAlignment="1">
      <alignment horizontal="right"/>
    </xf>
    <xf numFmtId="0" fontId="0" fillId="0" borderId="49" xfId="0" applyFill="1" applyBorder="1" applyAlignment="1">
      <alignment horizontal="right"/>
    </xf>
    <xf numFmtId="0" fontId="0" fillId="0" borderId="3" xfId="0" applyFill="1" applyBorder="1" applyAlignment="1">
      <alignment horizontal="right"/>
    </xf>
    <xf numFmtId="0" fontId="0" fillId="0" borderId="4" xfId="0" applyFill="1" applyBorder="1" applyAlignment="1">
      <alignment horizontal="right"/>
    </xf>
    <xf numFmtId="0" fontId="3" fillId="3" borderId="11" xfId="0" applyFont="1" applyFill="1" applyBorder="1" applyAlignment="1">
      <alignment horizontal="right"/>
    </xf>
    <xf numFmtId="0" fontId="3" fillId="3" borderId="1" xfId="0" applyFont="1" applyFill="1" applyBorder="1" applyAlignment="1">
      <alignment horizontal="right"/>
    </xf>
    <xf numFmtId="0" fontId="0" fillId="0" borderId="11" xfId="0" applyFill="1" applyBorder="1"/>
    <xf numFmtId="0" fontId="0" fillId="0" borderId="1" xfId="0" applyFill="1" applyBorder="1"/>
    <xf numFmtId="0" fontId="0" fillId="0" borderId="55" xfId="0" applyFill="1" applyBorder="1" applyAlignment="1">
      <alignment horizontal="right"/>
    </xf>
    <xf numFmtId="0" fontId="0" fillId="0" borderId="78" xfId="0" applyFill="1" applyBorder="1" applyAlignment="1">
      <alignment horizontal="right"/>
    </xf>
    <xf numFmtId="0" fontId="0" fillId="0" borderId="56" xfId="0" applyFill="1" applyBorder="1" applyAlignment="1">
      <alignment horizontal="right"/>
    </xf>
    <xf numFmtId="0" fontId="13" fillId="2" borderId="44" xfId="0" applyFont="1" applyFill="1" applyBorder="1" applyAlignment="1">
      <alignment horizontal="center"/>
    </xf>
    <xf numFmtId="0" fontId="13" fillId="2" borderId="45" xfId="0" applyFont="1" applyFill="1" applyBorder="1" applyAlignment="1">
      <alignment horizontal="center"/>
    </xf>
    <xf numFmtId="0" fontId="13" fillId="2" borderId="46" xfId="0" applyFont="1" applyFill="1" applyBorder="1" applyAlignment="1">
      <alignment horizontal="center"/>
    </xf>
    <xf numFmtId="0" fontId="13" fillId="2" borderId="32" xfId="0" applyFont="1" applyFill="1" applyBorder="1" applyAlignment="1">
      <alignment horizontal="center"/>
    </xf>
    <xf numFmtId="0" fontId="13" fillId="2" borderId="30" xfId="0" applyFont="1" applyFill="1" applyBorder="1" applyAlignment="1">
      <alignment horizontal="center"/>
    </xf>
    <xf numFmtId="0" fontId="13" fillId="2" borderId="33" xfId="0" applyFont="1" applyFill="1" applyBorder="1" applyAlignment="1">
      <alignment horizontal="center"/>
    </xf>
    <xf numFmtId="0" fontId="6" fillId="0" borderId="49" xfId="0" applyFont="1" applyBorder="1" applyAlignment="1">
      <alignment horizontal="left" wrapText="1"/>
    </xf>
    <xf numFmtId="0" fontId="0" fillId="0" borderId="58" xfId="0" applyBorder="1" applyAlignment="1">
      <alignment horizontal="left" wrapText="1"/>
    </xf>
    <xf numFmtId="0" fontId="0" fillId="0" borderId="11" xfId="0" applyBorder="1" applyAlignment="1">
      <alignment horizontal="left" wrapText="1"/>
    </xf>
    <xf numFmtId="0" fontId="0" fillId="0" borderId="1" xfId="0" applyBorder="1" applyAlignment="1">
      <alignment horizontal="left" wrapText="1"/>
    </xf>
    <xf numFmtId="0" fontId="0" fillId="0" borderId="37" xfId="0" applyBorder="1" applyAlignment="1">
      <alignment wrapText="1"/>
    </xf>
    <xf numFmtId="0" fontId="0" fillId="0" borderId="38" xfId="0" applyBorder="1" applyAlignment="1">
      <alignment wrapText="1"/>
    </xf>
    <xf numFmtId="0" fontId="0" fillId="0" borderId="59" xfId="0" applyBorder="1" applyAlignment="1">
      <alignment wrapText="1"/>
    </xf>
    <xf numFmtId="0" fontId="26" fillId="2" borderId="0" xfId="0" applyFont="1" applyFill="1" applyAlignment="1">
      <alignment horizontal="center"/>
    </xf>
    <xf numFmtId="0" fontId="3" fillId="3" borderId="49" xfId="0" applyFont="1" applyFill="1" applyBorder="1" applyAlignment="1">
      <alignment horizontal="right" vertical="center"/>
    </xf>
    <xf numFmtId="0" fontId="3" fillId="3" borderId="3" xfId="0" applyFont="1" applyFill="1" applyBorder="1" applyAlignment="1">
      <alignment horizontal="right" vertical="center"/>
    </xf>
    <xf numFmtId="0" fontId="8" fillId="0" borderId="2" xfId="0" applyFont="1" applyFill="1" applyBorder="1" applyAlignment="1">
      <alignment horizontal="center"/>
    </xf>
    <xf numFmtId="0" fontId="8" fillId="0" borderId="58" xfId="0" applyFont="1" applyFill="1" applyBorder="1" applyAlignment="1">
      <alignment horizontal="center"/>
    </xf>
    <xf numFmtId="0" fontId="8" fillId="0" borderId="49" xfId="0" applyFont="1" applyFill="1" applyBorder="1" applyAlignment="1">
      <alignment horizontal="center"/>
    </xf>
    <xf numFmtId="0" fontId="0" fillId="0" borderId="49"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3" borderId="49" xfId="0" applyFont="1" applyFill="1" applyBorder="1" applyAlignment="1">
      <alignment horizontal="right"/>
    </xf>
    <xf numFmtId="0" fontId="3" fillId="3" borderId="3" xfId="0" applyFont="1" applyFill="1" applyBorder="1" applyAlignment="1">
      <alignment horizontal="right"/>
    </xf>
    <xf numFmtId="0" fontId="3" fillId="3" borderId="4" xfId="0" applyFont="1" applyFill="1" applyBorder="1" applyAlignment="1">
      <alignment horizontal="right"/>
    </xf>
    <xf numFmtId="0" fontId="0" fillId="0" borderId="11" xfId="0" applyFill="1" applyBorder="1" applyAlignment="1">
      <alignment horizontal="center"/>
    </xf>
    <xf numFmtId="0" fontId="0" fillId="0" borderId="1" xfId="0" applyFill="1" applyBorder="1" applyAlignment="1">
      <alignment horizontal="center"/>
    </xf>
    <xf numFmtId="0" fontId="0" fillId="0" borderId="49"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11" xfId="0" applyBorder="1"/>
    <xf numFmtId="0" fontId="0" fillId="0" borderId="1" xfId="0" applyBorder="1"/>
    <xf numFmtId="0" fontId="3" fillId="3" borderId="34" xfId="0" applyFont="1" applyFill="1" applyBorder="1" applyAlignment="1">
      <alignment horizontal="right"/>
    </xf>
    <xf numFmtId="0" fontId="3" fillId="3" borderId="35" xfId="0" applyFont="1" applyFill="1" applyBorder="1" applyAlignment="1">
      <alignment horizontal="right"/>
    </xf>
    <xf numFmtId="0" fontId="13" fillId="2" borderId="12" xfId="0" applyFont="1" applyFill="1" applyBorder="1" applyAlignment="1">
      <alignment horizontal="center"/>
    </xf>
    <xf numFmtId="0" fontId="13" fillId="2" borderId="13" xfId="0" applyFont="1" applyFill="1" applyBorder="1" applyAlignment="1">
      <alignment horizontal="center"/>
    </xf>
    <xf numFmtId="0" fontId="13" fillId="2" borderId="60" xfId="0" applyFont="1" applyFill="1" applyBorder="1" applyAlignment="1">
      <alignment horizontal="center"/>
    </xf>
    <xf numFmtId="0" fontId="22" fillId="0" borderId="0" xfId="0" applyFont="1" applyFill="1" applyBorder="1" applyAlignment="1">
      <alignment horizontal="left"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3" borderId="39" xfId="0" applyFont="1" applyFill="1" applyBorder="1" applyAlignment="1">
      <alignment horizontal="right" vertical="center"/>
    </xf>
    <xf numFmtId="0" fontId="3" fillId="3" borderId="7" xfId="0" applyFont="1" applyFill="1" applyBorder="1" applyAlignment="1">
      <alignment horizontal="right" vertical="center"/>
    </xf>
    <xf numFmtId="0" fontId="5" fillId="0" borderId="49" xfId="0" applyFont="1" applyBorder="1" applyAlignment="1">
      <alignment horizontal="left"/>
    </xf>
    <xf numFmtId="0" fontId="5" fillId="0" borderId="4" xfId="0" applyFont="1" applyBorder="1" applyAlignment="1">
      <alignment horizontal="left"/>
    </xf>
    <xf numFmtId="0" fontId="3" fillId="3" borderId="38" xfId="0" applyFont="1" applyFill="1" applyBorder="1" applyAlignment="1">
      <alignment horizontal="right" vertical="center"/>
    </xf>
    <xf numFmtId="0" fontId="3" fillId="3" borderId="51" xfId="0" applyFont="1" applyFill="1" applyBorder="1" applyAlignment="1">
      <alignment horizontal="right" vertical="center"/>
    </xf>
    <xf numFmtId="164" fontId="3" fillId="3" borderId="34" xfId="0" applyNumberFormat="1" applyFont="1" applyFill="1" applyBorder="1" applyAlignment="1">
      <alignment horizontal="right" vertical="center"/>
    </xf>
    <xf numFmtId="164" fontId="3" fillId="3" borderId="35" xfId="0" applyNumberFormat="1" applyFont="1" applyFill="1" applyBorder="1" applyAlignment="1">
      <alignment horizontal="right" vertical="center"/>
    </xf>
    <xf numFmtId="0" fontId="13" fillId="2" borderId="32"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5" fillId="0" borderId="11" xfId="0" applyFont="1" applyBorder="1" applyAlignment="1">
      <alignment horizontal="left"/>
    </xf>
    <xf numFmtId="0" fontId="5" fillId="0" borderId="1" xfId="0" applyFont="1" applyBorder="1" applyAlignment="1">
      <alignment horizontal="left"/>
    </xf>
    <xf numFmtId="0" fontId="3" fillId="3" borderId="52" xfId="0" applyFont="1" applyFill="1" applyBorder="1" applyAlignment="1">
      <alignment horizontal="right" vertical="center"/>
    </xf>
    <xf numFmtId="0" fontId="3" fillId="3" borderId="53" xfId="0" applyFont="1" applyFill="1" applyBorder="1" applyAlignment="1">
      <alignment horizontal="right" vertical="center"/>
    </xf>
    <xf numFmtId="0" fontId="3" fillId="3" borderId="54" xfId="0" applyFont="1" applyFill="1" applyBorder="1" applyAlignment="1">
      <alignment horizontal="right" vertical="center"/>
    </xf>
    <xf numFmtId="164" fontId="3" fillId="3" borderId="37" xfId="1" applyNumberFormat="1" applyFont="1" applyFill="1" applyBorder="1" applyAlignment="1">
      <alignment horizontal="right" wrapText="1"/>
    </xf>
    <xf numFmtId="164" fontId="3" fillId="3" borderId="38" xfId="1" applyNumberFormat="1" applyFont="1" applyFill="1" applyBorder="1" applyAlignment="1">
      <alignment horizontal="right" wrapText="1"/>
    </xf>
    <xf numFmtId="164" fontId="3" fillId="3" borderId="51" xfId="1" applyNumberFormat="1" applyFont="1" applyFill="1" applyBorder="1" applyAlignment="1">
      <alignment horizontal="right" wrapText="1"/>
    </xf>
    <xf numFmtId="0" fontId="13" fillId="2" borderId="103" xfId="0" applyFont="1" applyFill="1" applyBorder="1" applyAlignment="1">
      <alignment horizontal="center" vertical="center" wrapText="1"/>
    </xf>
    <xf numFmtId="0" fontId="13" fillId="2" borderId="104" xfId="0" applyFont="1" applyFill="1" applyBorder="1" applyAlignment="1">
      <alignment horizontal="center" vertical="center"/>
    </xf>
    <xf numFmtId="0" fontId="5" fillId="0" borderId="41" xfId="0" applyFont="1" applyBorder="1" applyAlignment="1">
      <alignment horizontal="left" wrapText="1"/>
    </xf>
    <xf numFmtId="0" fontId="5" fillId="0" borderId="42" xfId="0" applyFont="1" applyBorder="1" applyAlignment="1">
      <alignment horizontal="left"/>
    </xf>
    <xf numFmtId="0" fontId="3" fillId="0" borderId="49" xfId="0" applyFont="1"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38" fontId="3" fillId="3" borderId="1" xfId="1" applyNumberFormat="1" applyFont="1" applyFill="1" applyBorder="1" applyAlignment="1">
      <alignment horizontal="center" vertical="center"/>
    </xf>
    <xf numFmtId="0" fontId="0" fillId="0" borderId="37" xfId="0" applyBorder="1" applyAlignment="1">
      <alignment vertical="center" wrapText="1"/>
    </xf>
    <xf numFmtId="0" fontId="0" fillId="0" borderId="38" xfId="0" applyBorder="1" applyAlignment="1">
      <alignment vertical="center" wrapText="1"/>
    </xf>
    <xf numFmtId="0" fontId="0" fillId="0" borderId="59" xfId="0" applyBorder="1" applyAlignment="1">
      <alignment vertical="center" wrapText="1"/>
    </xf>
    <xf numFmtId="0" fontId="13" fillId="2" borderId="57" xfId="0" applyFont="1" applyFill="1" applyBorder="1" applyAlignment="1">
      <alignment horizontal="center" vertical="center" wrapText="1"/>
    </xf>
    <xf numFmtId="0" fontId="13" fillId="2" borderId="10" xfId="0" applyFont="1" applyFill="1" applyBorder="1" applyAlignment="1">
      <alignment horizontal="center" vertical="center"/>
    </xf>
    <xf numFmtId="0" fontId="0" fillId="0" borderId="67" xfId="0" applyFill="1" applyBorder="1" applyAlignment="1">
      <alignment horizontal="right" vertical="center"/>
    </xf>
    <xf numFmtId="0" fontId="0" fillId="0" borderId="68" xfId="0" applyFill="1" applyBorder="1" applyAlignment="1">
      <alignment horizontal="right" vertical="center"/>
    </xf>
    <xf numFmtId="0" fontId="3" fillId="3" borderId="4" xfId="0" applyFont="1" applyFill="1" applyBorder="1" applyAlignment="1">
      <alignment horizontal="right" vertical="center"/>
    </xf>
    <xf numFmtId="38" fontId="3" fillId="3" borderId="2" xfId="1" applyNumberFormat="1" applyFont="1" applyFill="1" applyBorder="1" applyAlignment="1">
      <alignment horizontal="center" vertical="center"/>
    </xf>
    <xf numFmtId="38" fontId="3" fillId="3" borderId="4" xfId="1" applyNumberFormat="1" applyFont="1" applyFill="1" applyBorder="1" applyAlignment="1">
      <alignment horizontal="center" vertical="center"/>
    </xf>
    <xf numFmtId="0" fontId="5" fillId="0" borderId="49" xfId="0" applyFont="1" applyFill="1" applyBorder="1" applyAlignment="1">
      <alignment wrapText="1"/>
    </xf>
    <xf numFmtId="0" fontId="5" fillId="0" borderId="3" xfId="0" applyFont="1" applyFill="1" applyBorder="1" applyAlignment="1">
      <alignment wrapText="1"/>
    </xf>
    <xf numFmtId="0" fontId="0" fillId="0" borderId="49" xfId="0" applyFont="1" applyFill="1" applyBorder="1" applyAlignment="1">
      <alignment horizontal="left" wrapText="1"/>
    </xf>
    <xf numFmtId="0" fontId="0" fillId="0" borderId="4" xfId="0" applyFont="1" applyFill="1" applyBorder="1" applyAlignment="1">
      <alignment horizontal="left" wrapText="1"/>
    </xf>
    <xf numFmtId="0" fontId="5" fillId="7" borderId="49" xfId="0" applyFont="1" applyFill="1" applyBorder="1" applyAlignment="1">
      <alignment horizontal="left" vertical="center"/>
    </xf>
    <xf numFmtId="0" fontId="5" fillId="7" borderId="4" xfId="0" applyFont="1" applyFill="1" applyBorder="1" applyAlignment="1">
      <alignment horizontal="left" vertical="center"/>
    </xf>
    <xf numFmtId="0" fontId="0" fillId="7" borderId="49" xfId="0" applyFont="1" applyFill="1" applyBorder="1" applyAlignment="1">
      <alignment horizontal="left" vertical="center"/>
    </xf>
    <xf numFmtId="0" fontId="0" fillId="7" borderId="3" xfId="0" applyFont="1" applyFill="1" applyBorder="1" applyAlignment="1">
      <alignment horizontal="left" vertical="center"/>
    </xf>
    <xf numFmtId="0" fontId="0" fillId="7" borderId="4" xfId="0" applyFont="1" applyFill="1" applyBorder="1" applyAlignment="1">
      <alignment horizontal="left" vertical="center"/>
    </xf>
    <xf numFmtId="0" fontId="5" fillId="0" borderId="73" xfId="0" applyFont="1" applyBorder="1" applyAlignment="1">
      <alignment horizontal="right" vertical="center"/>
    </xf>
    <xf numFmtId="0" fontId="5" fillId="0" borderId="75" xfId="0" applyFont="1" applyBorder="1" applyAlignment="1">
      <alignment horizontal="right" vertical="center"/>
    </xf>
    <xf numFmtId="0" fontId="5" fillId="0" borderId="75" xfId="0" applyFont="1" applyBorder="1" applyAlignment="1">
      <alignment horizontal="center" vertical="center"/>
    </xf>
    <xf numFmtId="0" fontId="5" fillId="0" borderId="74" xfId="0" applyFont="1" applyBorder="1" applyAlignment="1">
      <alignment horizontal="center" vertical="center"/>
    </xf>
    <xf numFmtId="0" fontId="0" fillId="3" borderId="73" xfId="0" applyFill="1" applyBorder="1" applyAlignment="1">
      <alignment horizontal="center"/>
    </xf>
    <xf numFmtId="0" fontId="0" fillId="3" borderId="75" xfId="0" applyFill="1" applyBorder="1" applyAlignment="1">
      <alignment horizontal="center"/>
    </xf>
    <xf numFmtId="0" fontId="0" fillId="3" borderId="74" xfId="0" applyFill="1" applyBorder="1" applyAlignment="1">
      <alignment horizontal="center"/>
    </xf>
    <xf numFmtId="164" fontId="0" fillId="5" borderId="11" xfId="1" applyNumberFormat="1" applyFont="1" applyFill="1" applyBorder="1" applyAlignment="1">
      <alignment horizontal="right" vertical="center"/>
    </xf>
    <xf numFmtId="164" fontId="0" fillId="5" borderId="1" xfId="1" applyNumberFormat="1" applyFont="1" applyFill="1" applyBorder="1" applyAlignment="1">
      <alignment horizontal="right" vertical="center"/>
    </xf>
    <xf numFmtId="0" fontId="0" fillId="0" borderId="49" xfId="0"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horizontal="right" vertical="center"/>
    </xf>
    <xf numFmtId="164" fontId="3" fillId="3" borderId="37" xfId="1" applyNumberFormat="1" applyFont="1" applyFill="1" applyBorder="1" applyAlignment="1">
      <alignment horizontal="right" vertical="center" wrapText="1"/>
    </xf>
    <xf numFmtId="164" fontId="3" fillId="3" borderId="38" xfId="1" applyNumberFormat="1" applyFont="1" applyFill="1" applyBorder="1" applyAlignment="1">
      <alignment horizontal="right" vertical="center" wrapText="1"/>
    </xf>
    <xf numFmtId="164" fontId="3" fillId="3" borderId="51" xfId="1" applyNumberFormat="1" applyFont="1" applyFill="1" applyBorder="1" applyAlignment="1">
      <alignment horizontal="right" vertical="center" wrapText="1"/>
    </xf>
    <xf numFmtId="0" fontId="5" fillId="15" borderId="75" xfId="0" applyFont="1" applyFill="1" applyBorder="1" applyAlignment="1">
      <alignment horizontal="center" vertical="center"/>
    </xf>
    <xf numFmtId="0" fontId="5" fillId="15" borderId="74" xfId="0" applyFont="1" applyFill="1" applyBorder="1" applyAlignment="1">
      <alignment horizontal="center" vertical="center"/>
    </xf>
    <xf numFmtId="0" fontId="6" fillId="0" borderId="11" xfId="0" applyFont="1" applyBorder="1" applyAlignment="1">
      <alignment horizontal="left" wrapText="1"/>
    </xf>
    <xf numFmtId="0" fontId="5" fillId="0" borderId="72" xfId="0" applyFont="1" applyBorder="1" applyAlignment="1">
      <alignment horizontal="right" vertical="center"/>
    </xf>
    <xf numFmtId="0" fontId="5" fillId="15" borderId="72" xfId="0" applyFont="1" applyFill="1" applyBorder="1" applyAlignment="1">
      <alignment horizontal="center" vertical="center"/>
    </xf>
    <xf numFmtId="0" fontId="13" fillId="2" borderId="57" xfId="0" applyFont="1" applyFill="1" applyBorder="1" applyAlignment="1">
      <alignment horizontal="center"/>
    </xf>
    <xf numFmtId="0" fontId="13" fillId="2" borderId="10" xfId="0" applyFont="1" applyFill="1" applyBorder="1" applyAlignment="1">
      <alignment horizontal="center"/>
    </xf>
    <xf numFmtId="164" fontId="6" fillId="0" borderId="11" xfId="1" applyNumberFormat="1" applyFont="1" applyBorder="1" applyAlignment="1">
      <alignment horizontal="center"/>
    </xf>
    <xf numFmtId="164" fontId="6" fillId="0" borderId="1" xfId="1" applyNumberFormat="1" applyFont="1" applyBorder="1" applyAlignment="1">
      <alignment horizontal="center"/>
    </xf>
    <xf numFmtId="164" fontId="3" fillId="3" borderId="37" xfId="1" applyNumberFormat="1" applyFont="1" applyFill="1" applyBorder="1" applyAlignment="1">
      <alignment horizontal="right"/>
    </xf>
    <xf numFmtId="164" fontId="3" fillId="3" borderId="51" xfId="1" applyNumberFormat="1" applyFont="1" applyFill="1" applyBorder="1" applyAlignment="1">
      <alignment horizontal="right"/>
    </xf>
    <xf numFmtId="0" fontId="3" fillId="3" borderId="37" xfId="0" applyFont="1" applyFill="1" applyBorder="1" applyAlignment="1">
      <alignment horizontal="right"/>
    </xf>
    <xf numFmtId="0" fontId="3" fillId="3" borderId="51" xfId="0" applyFont="1" applyFill="1" applyBorder="1" applyAlignment="1">
      <alignment horizontal="right"/>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3" fillId="0" borderId="142" xfId="0" applyFont="1" applyBorder="1" applyAlignment="1">
      <alignment horizontal="right"/>
    </xf>
    <xf numFmtId="0" fontId="3" fillId="0" borderId="121" xfId="0" applyFont="1" applyBorder="1" applyAlignment="1">
      <alignment horizontal="right"/>
    </xf>
    <xf numFmtId="0" fontId="20" fillId="0" borderId="109" xfId="0" applyFont="1" applyBorder="1" applyAlignment="1">
      <alignment horizontal="center" vertical="center" wrapText="1"/>
    </xf>
    <xf numFmtId="0" fontId="0" fillId="0" borderId="140" xfId="0" applyBorder="1" applyAlignment="1">
      <alignment horizontal="left"/>
    </xf>
    <xf numFmtId="0" fontId="0" fillId="0" borderId="120" xfId="0" applyBorder="1" applyAlignment="1">
      <alignment horizontal="left"/>
    </xf>
    <xf numFmtId="0" fontId="13" fillId="2" borderId="108" xfId="0" applyFont="1" applyFill="1" applyBorder="1"/>
    <xf numFmtId="0" fontId="13" fillId="2" borderId="109" xfId="0" applyFont="1" applyFill="1" applyBorder="1"/>
    <xf numFmtId="0" fontId="0" fillId="0" borderId="140" xfId="0" applyBorder="1"/>
    <xf numFmtId="0" fontId="0" fillId="0" borderId="120" xfId="0" applyBorder="1"/>
    <xf numFmtId="0" fontId="13" fillId="2" borderId="105" xfId="0" applyFont="1" applyFill="1" applyBorder="1" applyAlignment="1">
      <alignment horizontal="left"/>
    </xf>
    <xf numFmtId="0" fontId="13" fillId="2" borderId="106" xfId="0" applyFont="1" applyFill="1" applyBorder="1" applyAlignment="1">
      <alignment horizontal="left"/>
    </xf>
    <xf numFmtId="0" fontId="3" fillId="0" borderId="140" xfId="0" applyFont="1" applyBorder="1" applyAlignment="1">
      <alignment horizontal="right"/>
    </xf>
    <xf numFmtId="0" fontId="3" fillId="0" borderId="120" xfId="0" applyFont="1" applyBorder="1" applyAlignment="1">
      <alignment horizontal="right"/>
    </xf>
    <xf numFmtId="0" fontId="0" fillId="0" borderId="140" xfId="0" applyFont="1" applyBorder="1"/>
    <xf numFmtId="0" fontId="3" fillId="0" borderId="120" xfId="0" applyFont="1" applyBorder="1"/>
    <xf numFmtId="0" fontId="0" fillId="0" borderId="142" xfId="0" applyBorder="1"/>
    <xf numFmtId="0" fontId="0" fillId="0" borderId="121" xfId="0" applyBorder="1"/>
    <xf numFmtId="0" fontId="0" fillId="0" borderId="140" xfId="0" applyBorder="1" applyAlignment="1">
      <alignment vertical="center"/>
    </xf>
    <xf numFmtId="0" fontId="0" fillId="0" borderId="120" xfId="0" applyBorder="1" applyAlignment="1">
      <alignment vertical="center"/>
    </xf>
    <xf numFmtId="0" fontId="13" fillId="15" borderId="144" xfId="0" applyFont="1" applyFill="1" applyBorder="1" applyAlignment="1">
      <alignment horizontal="center" vertical="center"/>
    </xf>
    <xf numFmtId="0" fontId="13" fillId="15" borderId="150" xfId="0" applyFont="1" applyFill="1" applyBorder="1" applyAlignment="1">
      <alignment horizontal="center" vertical="center"/>
    </xf>
    <xf numFmtId="0" fontId="13" fillId="15" borderId="151" xfId="0" applyFont="1" applyFill="1" applyBorder="1" applyAlignment="1">
      <alignment horizontal="center" vertical="center"/>
    </xf>
    <xf numFmtId="0" fontId="0" fillId="0" borderId="108" xfId="0" applyBorder="1"/>
    <xf numFmtId="0" fontId="0" fillId="0" borderId="109" xfId="0" applyBorder="1"/>
    <xf numFmtId="0" fontId="20" fillId="0" borderId="109" xfId="0" applyFont="1" applyBorder="1" applyAlignment="1">
      <alignment horizontal="center"/>
    </xf>
    <xf numFmtId="0" fontId="5" fillId="2" borderId="108" xfId="0" applyFont="1" applyFill="1" applyBorder="1"/>
    <xf numFmtId="0" fontId="5" fillId="2" borderId="109" xfId="0" applyFont="1" applyFill="1" applyBorder="1"/>
    <xf numFmtId="164" fontId="0" fillId="13" borderId="92" xfId="1" applyNumberFormat="1" applyFont="1" applyFill="1" applyBorder="1" applyAlignment="1">
      <alignment horizontal="center" vertical="center" wrapText="1"/>
    </xf>
    <xf numFmtId="164" fontId="0" fillId="13" borderId="100" xfId="1" applyNumberFormat="1" applyFont="1" applyFill="1" applyBorder="1" applyAlignment="1">
      <alignment horizontal="center" vertical="center" wrapText="1"/>
    </xf>
    <xf numFmtId="164" fontId="0" fillId="13" borderId="93" xfId="1" applyNumberFormat="1" applyFont="1" applyFill="1" applyBorder="1" applyAlignment="1">
      <alignment horizontal="center" vertical="center" wrapText="1"/>
    </xf>
    <xf numFmtId="164" fontId="0" fillId="13" borderId="88" xfId="1" applyNumberFormat="1" applyFont="1" applyFill="1" applyBorder="1" applyAlignment="1">
      <alignment horizontal="center" vertical="center" wrapText="1"/>
    </xf>
    <xf numFmtId="164" fontId="0" fillId="13" borderId="98" xfId="1" applyNumberFormat="1" applyFont="1" applyFill="1" applyBorder="1" applyAlignment="1">
      <alignment horizontal="center" vertical="center" wrapText="1"/>
    </xf>
    <xf numFmtId="164" fontId="0" fillId="13" borderId="89" xfId="1" applyNumberFormat="1" applyFont="1" applyFill="1" applyBorder="1" applyAlignment="1">
      <alignment horizontal="center" vertical="center" wrapText="1"/>
    </xf>
    <xf numFmtId="0" fontId="44" fillId="0" borderId="105" xfId="0" applyFont="1" applyBorder="1" applyAlignment="1">
      <alignment horizontal="center" vertical="center" wrapText="1"/>
    </xf>
    <xf numFmtId="0" fontId="44" fillId="0" borderId="106" xfId="0" applyFont="1" applyBorder="1" applyAlignment="1">
      <alignment horizontal="center" vertical="center" wrapText="1"/>
    </xf>
    <xf numFmtId="0" fontId="44" fillId="0" borderId="107" xfId="0" applyFont="1" applyBorder="1" applyAlignment="1">
      <alignment horizontal="center" vertical="center" wrapText="1"/>
    </xf>
    <xf numFmtId="0" fontId="10" fillId="0" borderId="109" xfId="1" applyNumberFormat="1" applyFont="1" applyFill="1" applyBorder="1" applyAlignment="1">
      <alignment horizontal="center" vertical="center"/>
    </xf>
    <xf numFmtId="0" fontId="10" fillId="0" borderId="110" xfId="1" applyNumberFormat="1" applyFont="1" applyFill="1" applyBorder="1" applyAlignment="1">
      <alignment horizontal="center" vertical="center"/>
    </xf>
    <xf numFmtId="0" fontId="15" fillId="0" borderId="140" xfId="0" applyFont="1" applyBorder="1"/>
    <xf numFmtId="0" fontId="15" fillId="0" borderId="120" xfId="0" applyFont="1" applyBorder="1"/>
    <xf numFmtId="0" fontId="6" fillId="0" borderId="27" xfId="0" applyFont="1" applyBorder="1" applyAlignment="1">
      <alignment horizontal="center" vertical="center" wrapText="1"/>
    </xf>
    <xf numFmtId="0" fontId="23" fillId="15" borderId="75" xfId="0" applyFont="1" applyFill="1" applyBorder="1" applyAlignment="1">
      <alignment horizontal="center"/>
    </xf>
    <xf numFmtId="0" fontId="52" fillId="15" borderId="75" xfId="0" applyFont="1" applyFill="1" applyBorder="1" applyAlignment="1">
      <alignment horizontal="center" vertical="center" wrapText="1"/>
    </xf>
    <xf numFmtId="0" fontId="20" fillId="0" borderId="0" xfId="0" applyFont="1" applyAlignment="1">
      <alignment horizontal="center" vertical="center"/>
    </xf>
    <xf numFmtId="0" fontId="7" fillId="0" borderId="92" xfId="0" applyFont="1" applyBorder="1" applyAlignment="1">
      <alignment horizontal="left" wrapText="1"/>
    </xf>
    <xf numFmtId="0" fontId="7" fillId="0" borderId="100" xfId="0" applyFont="1" applyBorder="1" applyAlignment="1">
      <alignment horizontal="left"/>
    </xf>
    <xf numFmtId="0" fontId="14" fillId="0" borderId="88" xfId="0" applyFont="1" applyBorder="1" applyAlignment="1">
      <alignment vertical="center"/>
    </xf>
    <xf numFmtId="0" fontId="14" fillId="0" borderId="98" xfId="0" applyFont="1" applyBorder="1" applyAlignment="1">
      <alignment vertical="center"/>
    </xf>
    <xf numFmtId="0" fontId="14" fillId="0" borderId="89" xfId="0" applyFont="1" applyBorder="1" applyAlignment="1">
      <alignment vertical="center"/>
    </xf>
    <xf numFmtId="0" fontId="0" fillId="0" borderId="13" xfId="0" applyBorder="1" applyAlignment="1">
      <alignment vertical="center" wrapText="1"/>
    </xf>
    <xf numFmtId="0" fontId="0" fillId="0" borderId="0" xfId="0" applyBorder="1" applyAlignment="1">
      <alignment vertical="center" wrapText="1"/>
    </xf>
    <xf numFmtId="0" fontId="0" fillId="6" borderId="101" xfId="0" applyFill="1" applyBorder="1" applyAlignment="1">
      <alignment horizontal="right"/>
    </xf>
    <xf numFmtId="0" fontId="0" fillId="6" borderId="102" xfId="0" applyFill="1" applyBorder="1" applyAlignment="1">
      <alignment horizontal="right"/>
    </xf>
    <xf numFmtId="0" fontId="6" fillId="0" borderId="0" xfId="0" applyFont="1" applyAlignment="1">
      <alignment horizontal="center" vertical="center" wrapText="1"/>
    </xf>
    <xf numFmtId="0" fontId="8" fillId="0" borderId="140" xfId="0" applyFont="1" applyBorder="1" applyAlignment="1">
      <alignment vertical="center" wrapText="1"/>
    </xf>
    <xf numFmtId="0" fontId="8" fillId="0" borderId="120" xfId="0" applyFont="1" applyBorder="1" applyAlignment="1">
      <alignment vertical="center" wrapText="1"/>
    </xf>
    <xf numFmtId="0" fontId="8" fillId="0" borderId="175" xfId="0" applyFont="1" applyBorder="1" applyAlignment="1">
      <alignment vertical="center" wrapText="1"/>
    </xf>
    <xf numFmtId="0" fontId="8" fillId="0" borderId="165" xfId="0" applyFont="1" applyBorder="1" applyAlignment="1">
      <alignment vertical="center" wrapText="1"/>
    </xf>
    <xf numFmtId="49" fontId="10" fillId="0" borderId="105" xfId="0" applyNumberFormat="1" applyFont="1" applyBorder="1" applyAlignment="1">
      <alignment horizontal="center" vertical="center"/>
    </xf>
    <xf numFmtId="49" fontId="10" fillId="0" borderId="106" xfId="0" applyNumberFormat="1" applyFont="1" applyBorder="1" applyAlignment="1">
      <alignment horizontal="center" vertical="center"/>
    </xf>
    <xf numFmtId="49" fontId="10" fillId="0" borderId="107" xfId="0" applyNumberFormat="1" applyFont="1" applyBorder="1" applyAlignment="1">
      <alignment horizontal="center" vertical="center"/>
    </xf>
    <xf numFmtId="0" fontId="5" fillId="15" borderId="12" xfId="0" applyFont="1" applyFill="1" applyBorder="1" applyAlignment="1">
      <alignment horizontal="center" vertical="center"/>
    </xf>
    <xf numFmtId="0" fontId="5" fillId="15" borderId="13" xfId="0" applyFont="1" applyFill="1" applyBorder="1" applyAlignment="1">
      <alignment horizontal="center" vertical="center"/>
    </xf>
    <xf numFmtId="0" fontId="5" fillId="15" borderId="60" xfId="0" applyFont="1" applyFill="1" applyBorder="1" applyAlignment="1">
      <alignment horizontal="center" vertical="center"/>
    </xf>
    <xf numFmtId="49" fontId="8" fillId="0" borderId="108" xfId="0" applyNumberFormat="1" applyFont="1" applyBorder="1"/>
    <xf numFmtId="49" fontId="8" fillId="0" borderId="109" xfId="0" applyNumberFormat="1" applyFont="1" applyBorder="1"/>
    <xf numFmtId="0" fontId="8" fillId="0" borderId="109" xfId="0" applyFont="1" applyBorder="1" applyAlignment="1">
      <alignment horizontal="center"/>
    </xf>
    <xf numFmtId="0" fontId="8" fillId="0" borderId="110" xfId="0" applyFont="1" applyBorder="1" applyAlignment="1">
      <alignment horizontal="center"/>
    </xf>
    <xf numFmtId="49" fontId="8" fillId="0" borderId="108" xfId="0" applyNumberFormat="1" applyFont="1" applyBorder="1" applyAlignment="1">
      <alignment horizontal="right"/>
    </xf>
    <xf numFmtId="49" fontId="8" fillId="0" borderId="109" xfId="0" applyNumberFormat="1" applyFont="1" applyBorder="1" applyAlignment="1">
      <alignment horizontal="right"/>
    </xf>
    <xf numFmtId="49" fontId="10" fillId="0" borderId="12"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60"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33" xfId="0" applyNumberFormat="1" applyFont="1" applyBorder="1" applyAlignment="1">
      <alignment horizontal="center" vertical="center"/>
    </xf>
    <xf numFmtId="49" fontId="10" fillId="0" borderId="129" xfId="0" applyNumberFormat="1" applyFont="1" applyBorder="1" applyAlignment="1">
      <alignment horizontal="center" vertical="center"/>
    </xf>
    <xf numFmtId="49" fontId="10" fillId="0" borderId="139"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46" xfId="0" applyNumberFormat="1" applyFont="1" applyBorder="1" applyAlignment="1">
      <alignment horizontal="center" vertical="center"/>
    </xf>
    <xf numFmtId="0" fontId="9" fillId="0" borderId="133" xfId="0" applyFont="1" applyBorder="1" applyAlignment="1">
      <alignment horizontal="center"/>
    </xf>
    <xf numFmtId="0" fontId="9" fillId="0" borderId="129" xfId="0" applyFont="1" applyBorder="1" applyAlignment="1">
      <alignment horizontal="center"/>
    </xf>
    <xf numFmtId="0" fontId="9" fillId="0" borderId="139" xfId="0" applyFont="1" applyBorder="1" applyAlignment="1">
      <alignment horizontal="center"/>
    </xf>
    <xf numFmtId="0" fontId="9" fillId="0" borderId="114" xfId="0" applyFont="1" applyBorder="1" applyAlignment="1">
      <alignment horizontal="center"/>
    </xf>
    <xf numFmtId="0" fontId="9" fillId="0" borderId="115" xfId="0" applyFont="1" applyBorder="1" applyAlignment="1">
      <alignment horizontal="center"/>
    </xf>
    <xf numFmtId="0" fontId="9" fillId="0" borderId="159" xfId="0" applyFont="1" applyBorder="1" applyAlignment="1">
      <alignment horizontal="center"/>
    </xf>
    <xf numFmtId="167" fontId="5" fillId="15" borderId="124" xfId="2" applyNumberFormat="1" applyFont="1" applyFill="1" applyBorder="1" applyAlignment="1">
      <alignment horizontal="center" vertical="center"/>
    </xf>
    <xf numFmtId="167" fontId="5" fillId="15" borderId="125" xfId="2" applyNumberFormat="1" applyFont="1" applyFill="1" applyBorder="1" applyAlignment="1">
      <alignment horizontal="center" vertical="center"/>
    </xf>
    <xf numFmtId="167" fontId="5" fillId="15" borderId="143" xfId="2" applyNumberFormat="1" applyFont="1" applyFill="1" applyBorder="1" applyAlignment="1">
      <alignment horizontal="center" vertical="center"/>
    </xf>
    <xf numFmtId="0" fontId="13" fillId="11" borderId="105" xfId="0" applyFont="1" applyFill="1" applyBorder="1" applyAlignment="1">
      <alignment wrapText="1"/>
    </xf>
    <xf numFmtId="0" fontId="13" fillId="11" borderId="106" xfId="0" applyFont="1" applyFill="1" applyBorder="1" applyAlignment="1">
      <alignment wrapText="1"/>
    </xf>
    <xf numFmtId="0" fontId="13" fillId="11" borderId="107" xfId="0" applyFont="1" applyFill="1" applyBorder="1" applyAlignment="1">
      <alignment wrapText="1"/>
    </xf>
    <xf numFmtId="0" fontId="5" fillId="0" borderId="105" xfId="0" applyFont="1" applyBorder="1" applyAlignment="1">
      <alignment horizontal="center" vertical="center"/>
    </xf>
    <xf numFmtId="0" fontId="9" fillId="0" borderId="109" xfId="0" applyFont="1" applyBorder="1" applyAlignment="1">
      <alignment horizontal="center"/>
    </xf>
    <xf numFmtId="0" fontId="9" fillId="0" borderId="110" xfId="0" applyFont="1" applyBorder="1" applyAlignment="1">
      <alignment horizontal="center"/>
    </xf>
    <xf numFmtId="0" fontId="0" fillId="0" borderId="0" xfId="0" applyAlignment="1">
      <alignment vertical="center" wrapText="1"/>
    </xf>
    <xf numFmtId="0" fontId="0" fillId="6" borderId="1" xfId="0" applyFill="1" applyBorder="1" applyAlignment="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22" fillId="0" borderId="0" xfId="0" applyFont="1" applyAlignment="1">
      <alignment vertical="center" wrapText="1"/>
    </xf>
    <xf numFmtId="0" fontId="0" fillId="0" borderId="2" xfId="0" applyBorder="1" applyAlignment="1">
      <alignment horizontal="center"/>
    </xf>
    <xf numFmtId="0" fontId="0" fillId="0" borderId="24" xfId="0" applyBorder="1" applyAlignment="1">
      <alignment horizontal="center"/>
    </xf>
    <xf numFmtId="170" fontId="33" fillId="0" borderId="12" xfId="0" applyNumberFormat="1" applyFont="1" applyBorder="1" applyAlignment="1">
      <alignment horizontal="center"/>
    </xf>
    <xf numFmtId="170" fontId="33" fillId="0" borderId="13" xfId="0" applyNumberFormat="1" applyFont="1" applyBorder="1" applyAlignment="1">
      <alignment horizontal="center"/>
    </xf>
    <xf numFmtId="170" fontId="33" fillId="0" borderId="60" xfId="0" applyNumberFormat="1" applyFont="1" applyBorder="1" applyAlignment="1">
      <alignment horizontal="center"/>
    </xf>
    <xf numFmtId="0" fontId="9" fillId="15" borderId="73" xfId="0" applyFont="1" applyFill="1" applyBorder="1" applyAlignment="1">
      <alignment horizontal="center"/>
    </xf>
    <xf numFmtId="0" fontId="9" fillId="15" borderId="75" xfId="0" applyFont="1" applyFill="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3" xfId="0" applyFont="1" applyBorder="1" applyAlignment="1">
      <alignment horizontal="center" vertical="center" wrapText="1"/>
    </xf>
    <xf numFmtId="0" fontId="3" fillId="0" borderId="116" xfId="0" applyFont="1" applyBorder="1"/>
    <xf numFmtId="0" fontId="3" fillId="0" borderId="118" xfId="0" applyFont="1" applyBorder="1"/>
    <xf numFmtId="0" fontId="38" fillId="15" borderId="166" xfId="0" applyFont="1" applyFill="1" applyBorder="1" applyAlignment="1">
      <alignment horizontal="center" vertical="center"/>
    </xf>
    <xf numFmtId="0" fontId="38" fillId="15" borderId="167" xfId="0" applyFont="1" applyFill="1" applyBorder="1" applyAlignment="1">
      <alignment horizontal="center" vertical="center"/>
    </xf>
    <xf numFmtId="0" fontId="38" fillId="15" borderId="168" xfId="0" applyFont="1" applyFill="1" applyBorder="1" applyAlignment="1">
      <alignment horizontal="center" vertical="center"/>
    </xf>
    <xf numFmtId="0" fontId="38" fillId="15" borderId="122" xfId="0" applyFont="1" applyFill="1" applyBorder="1" applyAlignment="1">
      <alignment horizontal="center" vertical="center"/>
    </xf>
    <xf numFmtId="0" fontId="38" fillId="15" borderId="140" xfId="0" applyFont="1" applyFill="1" applyBorder="1" applyAlignment="1">
      <alignment horizontal="center" vertical="center"/>
    </xf>
    <xf numFmtId="0" fontId="38" fillId="15" borderId="141" xfId="0" applyFont="1" applyFill="1" applyBorder="1" applyAlignment="1">
      <alignment horizontal="center" vertical="center"/>
    </xf>
    <xf numFmtId="0" fontId="3" fillId="13" borderId="49" xfId="0" applyFont="1" applyFill="1" applyBorder="1" applyAlignment="1">
      <alignment horizontal="right" vertical="center" wrapText="1"/>
    </xf>
    <xf numFmtId="0" fontId="3" fillId="13" borderId="3" xfId="0" applyFont="1" applyFill="1" applyBorder="1" applyAlignment="1">
      <alignment horizontal="right" vertical="center" wrapText="1"/>
    </xf>
    <xf numFmtId="0" fontId="0" fillId="0" borderId="169" xfId="0" applyBorder="1" applyAlignment="1">
      <alignment horizontal="center" vertical="center" wrapText="1"/>
    </xf>
    <xf numFmtId="0" fontId="0" fillId="0" borderId="170" xfId="0" applyBorder="1" applyAlignment="1">
      <alignment horizontal="center" vertical="center" wrapText="1"/>
    </xf>
    <xf numFmtId="0" fontId="0" fillId="0" borderId="171" xfId="0" applyBorder="1" applyAlignment="1">
      <alignment horizontal="center" vertical="center" wrapText="1"/>
    </xf>
    <xf numFmtId="0" fontId="44" fillId="0" borderId="44"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46" xfId="0" applyFont="1" applyBorder="1" applyAlignment="1">
      <alignment horizontal="center" vertical="center" wrapText="1"/>
    </xf>
    <xf numFmtId="0" fontId="0" fillId="0" borderId="0" xfId="0" applyFill="1" applyBorder="1" applyAlignment="1">
      <alignment vertical="center" wrapText="1"/>
    </xf>
    <xf numFmtId="0" fontId="3" fillId="16" borderId="105" xfId="0" applyFont="1" applyFill="1" applyBorder="1" applyAlignment="1">
      <alignment horizontal="center" wrapText="1"/>
    </xf>
    <xf numFmtId="0" fontId="3" fillId="16" borderId="106" xfId="0" applyFont="1" applyFill="1" applyBorder="1" applyAlignment="1">
      <alignment horizontal="center" wrapText="1"/>
    </xf>
    <xf numFmtId="0" fontId="3" fillId="16" borderId="107" xfId="0" applyFont="1" applyFill="1" applyBorder="1" applyAlignment="1">
      <alignment horizontal="center" wrapText="1"/>
    </xf>
    <xf numFmtId="0" fontId="3" fillId="16" borderId="108" xfId="0" applyFont="1" applyFill="1" applyBorder="1" applyAlignment="1">
      <alignment horizontal="center" wrapText="1"/>
    </xf>
    <xf numFmtId="0" fontId="3" fillId="16" borderId="109" xfId="0" applyFont="1" applyFill="1" applyBorder="1" applyAlignment="1">
      <alignment horizontal="center" wrapText="1"/>
    </xf>
    <xf numFmtId="0" fontId="3" fillId="16" borderId="110" xfId="0" applyFont="1" applyFill="1" applyBorder="1" applyAlignment="1">
      <alignment horizontal="center" wrapText="1"/>
    </xf>
    <xf numFmtId="0" fontId="3" fillId="6" borderId="105" xfId="0" applyFont="1" applyFill="1" applyBorder="1" applyAlignment="1">
      <alignment horizontal="center" wrapText="1"/>
    </xf>
    <xf numFmtId="0" fontId="3" fillId="6" borderId="106" xfId="0" applyFont="1" applyFill="1" applyBorder="1" applyAlignment="1">
      <alignment horizontal="center" wrapText="1"/>
    </xf>
    <xf numFmtId="0" fontId="3" fillId="6" borderId="107" xfId="0" applyFont="1" applyFill="1" applyBorder="1" applyAlignment="1">
      <alignment horizontal="center" wrapText="1"/>
    </xf>
    <xf numFmtId="0" fontId="3" fillId="6" borderId="108" xfId="0" applyFont="1" applyFill="1" applyBorder="1" applyAlignment="1">
      <alignment horizontal="center" wrapText="1"/>
    </xf>
    <xf numFmtId="0" fontId="3" fillId="6" borderId="109" xfId="0" applyFont="1" applyFill="1" applyBorder="1" applyAlignment="1">
      <alignment horizontal="center" wrapText="1"/>
    </xf>
    <xf numFmtId="0" fontId="3" fillId="6" borderId="110" xfId="0" applyFont="1" applyFill="1" applyBorder="1" applyAlignment="1">
      <alignment horizontal="center" wrapText="1"/>
    </xf>
    <xf numFmtId="0" fontId="38" fillId="0" borderId="124" xfId="0" applyFont="1" applyBorder="1" applyAlignment="1">
      <alignment horizontal="center" vertical="center"/>
    </xf>
    <xf numFmtId="0" fontId="38" fillId="0" borderId="125" xfId="0" applyFont="1" applyBorder="1" applyAlignment="1">
      <alignment horizontal="center" vertical="center"/>
    </xf>
    <xf numFmtId="0" fontId="9" fillId="13" borderId="108" xfId="0" applyFont="1" applyFill="1" applyBorder="1" applyAlignment="1">
      <alignment horizontal="right" vertical="center"/>
    </xf>
    <xf numFmtId="0" fontId="9" fillId="13" borderId="109" xfId="0" applyFont="1" applyFill="1" applyBorder="1" applyAlignment="1">
      <alignment horizontal="right" vertical="center"/>
    </xf>
    <xf numFmtId="0" fontId="5" fillId="13" borderId="109" xfId="0" applyFont="1" applyFill="1" applyBorder="1" applyAlignment="1">
      <alignment horizontal="center" vertical="center"/>
    </xf>
    <xf numFmtId="0" fontId="5" fillId="13" borderId="110"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82" xfId="0" applyFont="1" applyBorder="1" applyAlignment="1">
      <alignment horizontal="center" vertical="center"/>
    </xf>
    <xf numFmtId="0" fontId="5" fillId="0" borderId="79" xfId="0" applyFont="1" applyBorder="1" applyAlignment="1">
      <alignment horizontal="center" vertical="center"/>
    </xf>
    <xf numFmtId="0" fontId="5" fillId="0" borderId="81"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8" fillId="15" borderId="99" xfId="0" applyFont="1" applyFill="1" applyBorder="1" applyAlignment="1">
      <alignment horizontal="center" vertical="center"/>
    </xf>
    <xf numFmtId="0" fontId="38" fillId="15" borderId="97" xfId="0" applyFont="1" applyFill="1" applyBorder="1" applyAlignment="1">
      <alignment horizontal="center" vertical="center"/>
    </xf>
    <xf numFmtId="0" fontId="44" fillId="0" borderId="92" xfId="0" applyFont="1" applyBorder="1" applyAlignment="1">
      <alignment horizontal="center"/>
    </xf>
    <xf numFmtId="0" fontId="44" fillId="0" borderId="100" xfId="0" applyFont="1" applyBorder="1" applyAlignment="1">
      <alignment horizontal="center"/>
    </xf>
    <xf numFmtId="0" fontId="44" fillId="0" borderId="93" xfId="0" applyFont="1" applyBorder="1" applyAlignment="1">
      <alignment horizontal="center"/>
    </xf>
    <xf numFmtId="0" fontId="57" fillId="13" borderId="90" xfId="0" applyFont="1" applyFill="1" applyBorder="1" applyAlignment="1">
      <alignment horizontal="left" vertical="center" wrapText="1"/>
    </xf>
    <xf numFmtId="0" fontId="57" fillId="13" borderId="181" xfId="0" applyFont="1" applyFill="1" applyBorder="1" applyAlignment="1">
      <alignment horizontal="left" vertical="center"/>
    </xf>
    <xf numFmtId="0" fontId="57" fillId="13" borderId="91" xfId="0" applyFont="1" applyFill="1" applyBorder="1" applyAlignment="1">
      <alignment horizontal="left" vertical="center"/>
    </xf>
    <xf numFmtId="0" fontId="0" fillId="0" borderId="108" xfId="0" applyFill="1" applyBorder="1" applyAlignment="1"/>
    <xf numFmtId="0" fontId="0" fillId="0" borderId="109" xfId="0" applyFill="1" applyBorder="1" applyAlignment="1"/>
    <xf numFmtId="0" fontId="3" fillId="0" borderId="108" xfId="0" applyFont="1" applyBorder="1" applyAlignment="1">
      <alignment horizontal="right"/>
    </xf>
    <xf numFmtId="0" fontId="3" fillId="0" borderId="109" xfId="0" applyFont="1" applyBorder="1" applyAlignment="1">
      <alignment horizontal="right"/>
    </xf>
    <xf numFmtId="0" fontId="0" fillId="0" borderId="108" xfId="0" applyBorder="1" applyAlignment="1"/>
    <xf numFmtId="0" fontId="0" fillId="0" borderId="109" xfId="0" applyBorder="1" applyAlignment="1"/>
    <xf numFmtId="0" fontId="3" fillId="0" borderId="108" xfId="0" applyFont="1" applyFill="1" applyBorder="1" applyAlignment="1">
      <alignment horizontal="right"/>
    </xf>
    <xf numFmtId="0" fontId="3" fillId="0" borderId="109" xfId="0" applyFont="1" applyFill="1" applyBorder="1" applyAlignment="1">
      <alignment horizontal="right"/>
    </xf>
    <xf numFmtId="0" fontId="14" fillId="0" borderId="108" xfId="0" applyFont="1" applyBorder="1"/>
    <xf numFmtId="0" fontId="14" fillId="0" borderId="109" xfId="0" applyFont="1" applyBorder="1"/>
    <xf numFmtId="0" fontId="15" fillId="0" borderId="111" xfId="0" applyFont="1" applyBorder="1" applyAlignment="1">
      <alignment vertical="center" wrapText="1"/>
    </xf>
    <xf numFmtId="0" fontId="15" fillId="0" borderId="112" xfId="0" applyFont="1" applyBorder="1" applyAlignment="1">
      <alignment vertical="center" wrapText="1"/>
    </xf>
    <xf numFmtId="0" fontId="15" fillId="0" borderId="113" xfId="0" applyFont="1" applyBorder="1" applyAlignment="1">
      <alignment vertical="center" wrapText="1"/>
    </xf>
    <xf numFmtId="0" fontId="3" fillId="0" borderId="108" xfId="0" applyFont="1" applyFill="1" applyBorder="1" applyAlignment="1">
      <alignment horizontal="left"/>
    </xf>
    <xf numFmtId="0" fontId="3" fillId="0" borderId="109" xfId="0" applyFont="1" applyFill="1" applyBorder="1" applyAlignment="1">
      <alignment horizontal="left"/>
    </xf>
    <xf numFmtId="0" fontId="3" fillId="0" borderId="108" xfId="0" applyFont="1" applyBorder="1" applyAlignment="1">
      <alignment horizontal="left"/>
    </xf>
    <xf numFmtId="0" fontId="3" fillId="0" borderId="109" xfId="0" applyFont="1" applyBorder="1" applyAlignment="1">
      <alignment horizontal="left"/>
    </xf>
    <xf numFmtId="0" fontId="44" fillId="0" borderId="0" xfId="0" applyFont="1" applyBorder="1" applyAlignment="1">
      <alignment horizontal="center" vertical="center" wrapText="1"/>
    </xf>
    <xf numFmtId="0" fontId="44" fillId="0" borderId="0"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38" fillId="15" borderId="105" xfId="0" applyFont="1" applyFill="1" applyBorder="1" applyAlignment="1">
      <alignment horizontal="center" vertical="center"/>
    </xf>
    <xf numFmtId="0" fontId="38" fillId="15" borderId="106" xfId="0" applyFont="1" applyFill="1" applyBorder="1" applyAlignment="1">
      <alignment horizontal="center" vertical="center"/>
    </xf>
    <xf numFmtId="0" fontId="3" fillId="0" borderId="108" xfId="0" applyFont="1" applyBorder="1"/>
    <xf numFmtId="0" fontId="3" fillId="0" borderId="109" xfId="0" applyFont="1" applyBorder="1"/>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0" fillId="0" borderId="4" xfId="0" applyBorder="1" applyAlignment="1">
      <alignment horizontal="center" vertical="center" wrapText="1"/>
    </xf>
    <xf numFmtId="0" fontId="0" fillId="0" borderId="56" xfId="0" applyBorder="1" applyAlignment="1">
      <alignment horizontal="center" vertical="center" wrapText="1"/>
    </xf>
    <xf numFmtId="0" fontId="0" fillId="0" borderId="10" xfId="0" applyBorder="1" applyAlignment="1">
      <alignment horizontal="center" wrapText="1"/>
    </xf>
    <xf numFmtId="0" fontId="13" fillId="0" borderId="0" xfId="0" applyFont="1" applyAlignment="1">
      <alignment horizontal="center" vertical="center" wrapText="1"/>
    </xf>
    <xf numFmtId="0" fontId="0" fillId="3" borderId="4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162" xfId="0" applyFont="1" applyFill="1" applyBorder="1" applyAlignment="1">
      <alignment horizontal="center" vertical="center" wrapText="1"/>
    </xf>
    <xf numFmtId="0" fontId="0" fillId="3" borderId="4" xfId="0" applyFill="1" applyBorder="1" applyAlignment="1">
      <alignment horizontal="right" vertical="center" wrapText="1"/>
    </xf>
    <xf numFmtId="0" fontId="0" fillId="3" borderId="1" xfId="0" applyFill="1" applyBorder="1" applyAlignment="1">
      <alignment horizontal="right" vertical="center" wrapText="1"/>
    </xf>
    <xf numFmtId="0" fontId="0" fillId="3" borderId="77" xfId="0" applyFill="1" applyBorder="1" applyAlignment="1">
      <alignment horizontal="right" vertical="center" wrapText="1"/>
    </xf>
    <xf numFmtId="0" fontId="0" fillId="3" borderId="8" xfId="0" applyFill="1" applyBorder="1" applyAlignment="1">
      <alignment horizontal="right" vertical="center" wrapText="1"/>
    </xf>
    <xf numFmtId="0" fontId="5" fillId="3" borderId="51" xfId="0" applyFont="1" applyFill="1" applyBorder="1" applyAlignment="1">
      <alignment horizontal="right" vertical="center" wrapText="1"/>
    </xf>
    <xf numFmtId="0" fontId="5" fillId="3" borderId="35" xfId="0" applyFont="1" applyFill="1" applyBorder="1" applyAlignment="1">
      <alignment horizontal="right" vertical="center" wrapText="1"/>
    </xf>
    <xf numFmtId="0" fontId="3" fillId="0" borderId="127" xfId="0" applyFont="1" applyBorder="1" applyAlignment="1">
      <alignment horizontal="center"/>
    </xf>
    <xf numFmtId="0" fontId="3" fillId="0" borderId="140" xfId="0" applyFont="1" applyBorder="1" applyAlignment="1">
      <alignment horizontal="center"/>
    </xf>
    <xf numFmtId="0" fontId="3" fillId="0" borderId="141" xfId="0" applyFont="1" applyBorder="1" applyAlignment="1">
      <alignment horizontal="center"/>
    </xf>
    <xf numFmtId="0" fontId="0" fillId="0" borderId="106" xfId="0" applyBorder="1" applyAlignment="1">
      <alignment horizontal="center"/>
    </xf>
    <xf numFmtId="0" fontId="0" fillId="0" borderId="126" xfId="0" applyBorder="1" applyAlignment="1">
      <alignment horizontal="center"/>
    </xf>
    <xf numFmtId="0" fontId="9" fillId="0" borderId="106" xfId="0" applyFont="1" applyBorder="1" applyAlignment="1">
      <alignment horizontal="right" vertical="center"/>
    </xf>
    <xf numFmtId="0" fontId="5" fillId="0" borderId="105" xfId="0" applyFont="1" applyBorder="1" applyAlignment="1">
      <alignment horizontal="center" vertical="center" wrapText="1"/>
    </xf>
    <xf numFmtId="0" fontId="5" fillId="0" borderId="149" xfId="0" applyFont="1" applyBorder="1" applyAlignment="1">
      <alignment horizontal="center" vertical="center" wrapText="1"/>
    </xf>
    <xf numFmtId="0" fontId="5" fillId="0" borderId="164" xfId="0" applyFont="1" applyBorder="1" applyAlignment="1">
      <alignment horizontal="center" vertical="center" wrapText="1"/>
    </xf>
    <xf numFmtId="0" fontId="3" fillId="0" borderId="124" xfId="0" applyFont="1" applyBorder="1" applyAlignment="1">
      <alignment horizontal="center"/>
    </xf>
    <xf numFmtId="0" fontId="3" fillId="0" borderId="125" xfId="0" applyFont="1" applyBorder="1" applyAlignment="1">
      <alignment horizontal="center"/>
    </xf>
    <xf numFmtId="0" fontId="3" fillId="0" borderId="143" xfId="0" applyFont="1" applyBorder="1" applyAlignment="1">
      <alignment horizontal="center"/>
    </xf>
    <xf numFmtId="0" fontId="27" fillId="0" borderId="0" xfId="0" applyFont="1" applyAlignment="1">
      <alignment horizontal="center"/>
    </xf>
    <xf numFmtId="0" fontId="5" fillId="0" borderId="11"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3" fillId="5" borderId="2" xfId="0" applyFont="1" applyFill="1" applyBorder="1" applyAlignment="1">
      <alignment horizontal="right"/>
    </xf>
    <xf numFmtId="0" fontId="3" fillId="5" borderId="4" xfId="0" applyFont="1" applyFill="1" applyBorder="1" applyAlignment="1">
      <alignment horizontal="right"/>
    </xf>
    <xf numFmtId="0" fontId="13" fillId="0" borderId="73" xfId="0" applyFont="1" applyBorder="1" applyAlignment="1">
      <alignment horizontal="right"/>
    </xf>
    <xf numFmtId="0" fontId="13" fillId="0" borderId="75" xfId="0" applyFont="1" applyBorder="1" applyAlignment="1">
      <alignment horizontal="right"/>
    </xf>
    <xf numFmtId="0" fontId="9" fillId="7" borderId="89" xfId="0" applyFont="1" applyFill="1" applyBorder="1" applyAlignment="1" applyProtection="1">
      <alignment horizontal="center" vertical="center"/>
      <protection locked="0"/>
    </xf>
    <xf numFmtId="0" fontId="8" fillId="7" borderId="89" xfId="0" applyFont="1" applyFill="1" applyBorder="1" applyAlignment="1" applyProtection="1">
      <alignment horizontal="center"/>
      <protection locked="0"/>
    </xf>
    <xf numFmtId="164" fontId="6" fillId="7" borderId="89" xfId="1" applyNumberFormat="1" applyFont="1" applyFill="1" applyBorder="1" applyAlignment="1" applyProtection="1">
      <alignment horizontal="center"/>
      <protection locked="0"/>
    </xf>
    <xf numFmtId="168" fontId="8" fillId="7" borderId="89" xfId="0" applyNumberFormat="1" applyFont="1" applyFill="1" applyBorder="1" applyAlignment="1" applyProtection="1">
      <alignment horizontal="center"/>
      <protection locked="0"/>
    </xf>
    <xf numFmtId="0" fontId="9" fillId="7" borderId="91" xfId="0" applyFont="1" applyFill="1" applyBorder="1" applyAlignment="1" applyProtection="1">
      <alignment horizontal="center"/>
      <protection locked="0"/>
    </xf>
    <xf numFmtId="164" fontId="8" fillId="7" borderId="89" xfId="1" applyNumberFormat="1" applyFont="1" applyFill="1" applyBorder="1" applyProtection="1">
      <protection locked="0"/>
    </xf>
    <xf numFmtId="0" fontId="8" fillId="7" borderId="89" xfId="0" applyFont="1" applyFill="1" applyBorder="1" applyProtection="1">
      <protection locked="0"/>
    </xf>
    <xf numFmtId="2" fontId="8" fillId="7" borderId="89" xfId="0" applyNumberFormat="1" applyFont="1" applyFill="1" applyBorder="1" applyProtection="1">
      <protection locked="0"/>
    </xf>
    <xf numFmtId="174" fontId="8" fillId="7" borderId="89" xfId="4" applyNumberFormat="1" applyFont="1" applyFill="1" applyBorder="1" applyProtection="1">
      <protection locked="0"/>
    </xf>
    <xf numFmtId="43" fontId="8" fillId="7" borderId="89" xfId="1" applyFont="1" applyFill="1" applyBorder="1" applyProtection="1">
      <protection locked="0"/>
    </xf>
    <xf numFmtId="164" fontId="0" fillId="7" borderId="89" xfId="1" applyNumberFormat="1" applyFont="1" applyFill="1" applyBorder="1" applyProtection="1">
      <protection locked="0"/>
    </xf>
    <xf numFmtId="164" fontId="0" fillId="7" borderId="89" xfId="0" applyNumberFormat="1" applyFill="1" applyBorder="1" applyProtection="1">
      <protection locked="0"/>
    </xf>
    <xf numFmtId="37" fontId="0" fillId="7" borderId="89" xfId="1" applyNumberFormat="1" applyFont="1" applyFill="1" applyBorder="1" applyAlignment="1" applyProtection="1">
      <protection locked="0"/>
    </xf>
    <xf numFmtId="43" fontId="0" fillId="7" borderId="89" xfId="1" applyFont="1" applyFill="1" applyBorder="1" applyAlignment="1" applyProtection="1">
      <protection locked="0"/>
    </xf>
    <xf numFmtId="169" fontId="0" fillId="7" borderId="89" xfId="1" applyNumberFormat="1" applyFont="1" applyFill="1" applyBorder="1" applyAlignment="1" applyProtection="1">
      <protection locked="0"/>
    </xf>
    <xf numFmtId="10" fontId="0" fillId="7" borderId="89" xfId="2" applyNumberFormat="1" applyFont="1" applyFill="1" applyBorder="1" applyAlignment="1" applyProtection="1">
      <protection locked="0"/>
    </xf>
    <xf numFmtId="164" fontId="0" fillId="7" borderId="89" xfId="1" applyNumberFormat="1" applyFont="1" applyFill="1" applyBorder="1" applyAlignment="1" applyProtection="1">
      <protection locked="0"/>
    </xf>
    <xf numFmtId="164" fontId="25" fillId="7" borderId="89" xfId="1" applyNumberFormat="1" applyFont="1" applyFill="1" applyBorder="1" applyProtection="1">
      <protection locked="0"/>
    </xf>
    <xf numFmtId="38" fontId="0" fillId="7" borderId="89" xfId="1" applyNumberFormat="1" applyFont="1" applyFill="1" applyBorder="1" applyAlignment="1" applyProtection="1">
      <alignment horizontal="center"/>
      <protection locked="0"/>
    </xf>
    <xf numFmtId="9" fontId="0" fillId="7" borderId="89" xfId="2" applyFont="1" applyFill="1" applyBorder="1" applyAlignment="1" applyProtection="1">
      <alignment horizontal="center"/>
      <protection locked="0"/>
    </xf>
    <xf numFmtId="168" fontId="0" fillId="7" borderId="89" xfId="1" applyNumberFormat="1" applyFont="1" applyFill="1" applyBorder="1" applyAlignment="1" applyProtection="1">
      <alignment horizontal="center"/>
      <protection locked="0"/>
    </xf>
    <xf numFmtId="0" fontId="0" fillId="7" borderId="89" xfId="0" applyFill="1" applyBorder="1" applyAlignment="1" applyProtection="1">
      <alignment horizontal="center" vertical="center"/>
      <protection locked="0"/>
    </xf>
    <xf numFmtId="0" fontId="0" fillId="7" borderId="11" xfId="0" applyFill="1" applyBorder="1" applyProtection="1">
      <protection locked="0"/>
    </xf>
    <xf numFmtId="0" fontId="0" fillId="7" borderId="1" xfId="0" applyFill="1" applyBorder="1" applyProtection="1">
      <protection locked="0"/>
    </xf>
    <xf numFmtId="164" fontId="0" fillId="7" borderId="9" xfId="1" applyNumberFormat="1" applyFont="1" applyFill="1" applyBorder="1" applyProtection="1">
      <protection locked="0"/>
    </xf>
    <xf numFmtId="0" fontId="0" fillId="7" borderId="49" xfId="0" applyFont="1" applyFill="1" applyBorder="1" applyAlignment="1" applyProtection="1">
      <alignment horizontal="left" vertical="center"/>
      <protection locked="0"/>
    </xf>
    <xf numFmtId="0" fontId="0" fillId="7" borderId="3" xfId="0" applyFont="1" applyFill="1" applyBorder="1" applyAlignment="1" applyProtection="1">
      <alignment horizontal="left" vertical="center"/>
      <protection locked="0"/>
    </xf>
    <xf numFmtId="0" fontId="0" fillId="7" borderId="4" xfId="0" applyFont="1" applyFill="1" applyBorder="1" applyAlignment="1" applyProtection="1">
      <alignment horizontal="left" vertical="center"/>
      <protection locked="0"/>
    </xf>
    <xf numFmtId="164" fontId="0" fillId="7" borderId="9" xfId="1" applyNumberFormat="1" applyFont="1" applyFill="1" applyBorder="1" applyAlignment="1" applyProtection="1">
      <alignment vertical="center"/>
      <protection locked="0"/>
    </xf>
    <xf numFmtId="0" fontId="5" fillId="7" borderId="49" xfId="0" applyFont="1" applyFill="1" applyBorder="1" applyAlignment="1" applyProtection="1">
      <alignment horizontal="left" vertical="center"/>
      <protection locked="0"/>
    </xf>
    <xf numFmtId="0" fontId="5" fillId="7" borderId="4" xfId="0" applyFont="1" applyFill="1" applyBorder="1" applyAlignment="1" applyProtection="1">
      <alignment horizontal="left" vertical="center"/>
      <protection locked="0"/>
    </xf>
    <xf numFmtId="164" fontId="0" fillId="7" borderId="1" xfId="1" applyNumberFormat="1" applyFont="1" applyFill="1" applyBorder="1" applyAlignment="1" applyProtection="1">
      <alignment horizontal="center"/>
      <protection locked="0"/>
    </xf>
    <xf numFmtId="2" fontId="0" fillId="7" borderId="1" xfId="0" applyNumberFormat="1" applyFill="1" applyBorder="1" applyAlignment="1" applyProtection="1">
      <alignment horizontal="center"/>
      <protection locked="0"/>
    </xf>
    <xf numFmtId="0" fontId="5" fillId="7" borderId="1" xfId="0" applyFont="1" applyFill="1" applyBorder="1" applyAlignment="1" applyProtection="1">
      <alignment horizontal="left" vertical="center"/>
      <protection locked="0"/>
    </xf>
    <xf numFmtId="0" fontId="0" fillId="7" borderId="11" xfId="0" applyFill="1" applyBorder="1" applyProtection="1">
      <protection locked="0"/>
    </xf>
    <xf numFmtId="0" fontId="0" fillId="7" borderId="1" xfId="0" applyFill="1" applyBorder="1" applyProtection="1">
      <protection locked="0"/>
    </xf>
    <xf numFmtId="10" fontId="0" fillId="7" borderId="1" xfId="2" applyNumberFormat="1" applyFont="1" applyFill="1" applyBorder="1" applyProtection="1">
      <protection locked="0"/>
    </xf>
    <xf numFmtId="164" fontId="0" fillId="7" borderId="1" xfId="1" applyNumberFormat="1" applyFont="1" applyFill="1" applyBorder="1" applyProtection="1">
      <protection locked="0"/>
    </xf>
    <xf numFmtId="164" fontId="0" fillId="7" borderId="2" xfId="1" applyNumberFormat="1" applyFont="1" applyFill="1" applyBorder="1" applyAlignment="1" applyProtection="1">
      <alignment horizontal="center" vertical="center"/>
      <protection locked="0"/>
    </xf>
    <xf numFmtId="0" fontId="0" fillId="7" borderId="1" xfId="0" applyFill="1" applyBorder="1" applyAlignment="1" applyProtection="1">
      <alignment horizontal="center"/>
      <protection locked="0"/>
    </xf>
    <xf numFmtId="0" fontId="0" fillId="7" borderId="9" xfId="0" applyFill="1" applyBorder="1" applyAlignment="1" applyProtection="1">
      <alignment horizontal="center"/>
      <protection locked="0"/>
    </xf>
    <xf numFmtId="0" fontId="0" fillId="7" borderId="35" xfId="0" applyFill="1" applyBorder="1" applyAlignment="1" applyProtection="1">
      <alignment horizontal="center"/>
      <protection locked="0"/>
    </xf>
    <xf numFmtId="0" fontId="0" fillId="7" borderId="36" xfId="0" applyFill="1" applyBorder="1" applyAlignment="1" applyProtection="1">
      <alignment horizontal="center"/>
      <protection locked="0"/>
    </xf>
    <xf numFmtId="165" fontId="0" fillId="7" borderId="1" xfId="1" applyNumberFormat="1" applyFont="1" applyFill="1" applyBorder="1" applyProtection="1">
      <protection locked="0"/>
    </xf>
    <xf numFmtId="43" fontId="0" fillId="7" borderId="1" xfId="1" applyFont="1" applyFill="1" applyBorder="1" applyProtection="1">
      <protection locked="0"/>
    </xf>
    <xf numFmtId="0" fontId="0" fillId="7" borderId="11" xfId="0" applyFill="1" applyBorder="1" applyAlignment="1" applyProtection="1">
      <protection locked="0"/>
    </xf>
    <xf numFmtId="0" fontId="0" fillId="7" borderId="1" xfId="0" applyFill="1" applyBorder="1" applyAlignment="1" applyProtection="1">
      <protection locked="0"/>
    </xf>
    <xf numFmtId="2" fontId="0" fillId="7" borderId="1" xfId="0" applyNumberFormat="1" applyFill="1" applyBorder="1" applyProtection="1">
      <protection locked="0"/>
    </xf>
    <xf numFmtId="0" fontId="0" fillId="7" borderId="39" xfId="0" applyFill="1" applyBorder="1" applyAlignment="1" applyProtection="1">
      <protection locked="0"/>
    </xf>
    <xf numFmtId="0" fontId="0" fillId="7" borderId="7" xfId="0" applyFill="1" applyBorder="1" applyAlignment="1" applyProtection="1">
      <protection locked="0"/>
    </xf>
    <xf numFmtId="0" fontId="0" fillId="7" borderId="7" xfId="0" applyFill="1" applyBorder="1" applyProtection="1">
      <protection locked="0"/>
    </xf>
    <xf numFmtId="4" fontId="0" fillId="7" borderId="1" xfId="1" applyNumberFormat="1" applyFont="1" applyFill="1" applyBorder="1" applyProtection="1">
      <protection locked="0"/>
    </xf>
    <xf numFmtId="4" fontId="0" fillId="7" borderId="1" xfId="0" applyNumberFormat="1" applyFill="1" applyBorder="1" applyProtection="1">
      <protection locked="0"/>
    </xf>
    <xf numFmtId="0" fontId="0" fillId="7" borderId="49" xfId="0" applyFill="1" applyBorder="1" applyProtection="1">
      <protection locked="0"/>
    </xf>
    <xf numFmtId="0" fontId="0" fillId="7" borderId="4" xfId="0" applyFill="1" applyBorder="1" applyProtection="1">
      <protection locked="0"/>
    </xf>
    <xf numFmtId="0" fontId="0" fillId="7" borderId="49" xfId="0" applyFill="1" applyBorder="1" applyProtection="1">
      <protection locked="0"/>
    </xf>
    <xf numFmtId="0" fontId="0" fillId="7" borderId="4" xfId="0" applyFill="1" applyBorder="1" applyProtection="1">
      <protection locked="0"/>
    </xf>
    <xf numFmtId="164" fontId="0" fillId="7" borderId="11" xfId="1" applyNumberFormat="1" applyFont="1" applyFill="1" applyBorder="1" applyAlignment="1" applyProtection="1">
      <alignment horizontal="center" vertical="center" wrapText="1"/>
      <protection locked="0"/>
    </xf>
    <xf numFmtId="164" fontId="0" fillId="7" borderId="1" xfId="1" applyNumberFormat="1" applyFont="1" applyFill="1" applyBorder="1" applyAlignment="1" applyProtection="1">
      <alignment horizontal="center" vertical="center" wrapText="1"/>
      <protection locked="0"/>
    </xf>
    <xf numFmtId="164" fontId="0" fillId="7" borderId="39" xfId="1" applyNumberFormat="1" applyFont="1" applyFill="1" applyBorder="1" applyAlignment="1" applyProtection="1">
      <alignment horizontal="center" vertical="center" wrapText="1"/>
      <protection locked="0"/>
    </xf>
    <xf numFmtId="164" fontId="0" fillId="7" borderId="7" xfId="1" applyNumberFormat="1" applyFont="1" applyFill="1" applyBorder="1" applyAlignment="1" applyProtection="1">
      <alignment horizontal="center" vertical="center" wrapText="1"/>
      <protection locked="0"/>
    </xf>
    <xf numFmtId="164" fontId="0" fillId="7" borderId="1" xfId="0" applyNumberFormat="1" applyFill="1" applyBorder="1" applyProtection="1">
      <protection locked="0"/>
    </xf>
    <xf numFmtId="0" fontId="0" fillId="7" borderId="9" xfId="0" applyFill="1" applyBorder="1" applyProtection="1">
      <protection locked="0"/>
    </xf>
    <xf numFmtId="49" fontId="0" fillId="7" borderId="1" xfId="0" applyNumberFormat="1" applyFill="1" applyBorder="1" applyProtection="1">
      <protection locked="0"/>
    </xf>
    <xf numFmtId="164" fontId="0" fillId="7" borderId="2" xfId="1" applyNumberFormat="1" applyFont="1" applyFill="1" applyBorder="1" applyProtection="1">
      <protection locked="0"/>
    </xf>
    <xf numFmtId="164" fontId="0" fillId="7" borderId="11" xfId="1" applyNumberFormat="1" applyFont="1" applyFill="1" applyBorder="1" applyProtection="1">
      <protection locked="0"/>
    </xf>
    <xf numFmtId="0" fontId="0" fillId="7" borderId="3" xfId="0" applyFill="1" applyBorder="1" applyProtection="1">
      <protection locked="0"/>
    </xf>
    <xf numFmtId="0" fontId="0" fillId="7" borderId="49" xfId="0" applyFill="1" applyBorder="1" applyAlignment="1" applyProtection="1">
      <alignment horizontal="right"/>
      <protection locked="0"/>
    </xf>
    <xf numFmtId="0" fontId="0" fillId="7" borderId="3" xfId="0" applyFill="1" applyBorder="1" applyAlignment="1" applyProtection="1">
      <alignment horizontal="right"/>
      <protection locked="0"/>
    </xf>
    <xf numFmtId="0" fontId="0" fillId="7" borderId="4" xfId="0" applyFill="1" applyBorder="1" applyAlignment="1" applyProtection="1">
      <alignment horizontal="right"/>
      <protection locked="0"/>
    </xf>
    <xf numFmtId="168" fontId="0" fillId="7" borderId="58" xfId="0" applyNumberFormat="1" applyFill="1" applyBorder="1" applyAlignment="1" applyProtection="1">
      <alignment horizontal="center" vertical="center"/>
      <protection locked="0"/>
    </xf>
    <xf numFmtId="168" fontId="0" fillId="7" borderId="1" xfId="0" applyNumberFormat="1" applyFill="1" applyBorder="1" applyProtection="1">
      <protection locked="0"/>
    </xf>
    <xf numFmtId="0" fontId="0" fillId="7" borderId="11" xfId="0" applyFill="1" applyBorder="1" applyAlignment="1" applyProtection="1">
      <alignment horizontal="left"/>
      <protection locked="0"/>
    </xf>
    <xf numFmtId="164" fontId="0" fillId="7" borderId="11" xfId="1" applyNumberFormat="1" applyFont="1" applyFill="1" applyBorder="1" applyProtection="1">
      <protection locked="0"/>
    </xf>
    <xf numFmtId="164" fontId="0" fillId="7" borderId="1" xfId="1" applyNumberFormat="1" applyFont="1" applyFill="1" applyBorder="1" applyProtection="1">
      <protection locked="0"/>
    </xf>
    <xf numFmtId="164" fontId="0" fillId="7" borderId="49" xfId="1" applyNumberFormat="1" applyFont="1" applyFill="1" applyBorder="1" applyProtection="1">
      <protection locked="0"/>
    </xf>
    <xf numFmtId="164" fontId="0" fillId="7" borderId="4" xfId="1" applyNumberFormat="1" applyFont="1" applyFill="1" applyBorder="1" applyProtection="1">
      <protection locked="0"/>
    </xf>
    <xf numFmtId="0" fontId="0" fillId="5" borderId="11" xfId="0" applyFill="1" applyBorder="1" applyAlignment="1" applyProtection="1">
      <alignment horizontal="right" vertical="center"/>
      <protection locked="0"/>
    </xf>
    <xf numFmtId="0" fontId="0" fillId="5" borderId="1" xfId="0" applyFill="1" applyBorder="1" applyAlignment="1" applyProtection="1">
      <alignment horizontal="right" vertical="center"/>
      <protection locked="0"/>
    </xf>
    <xf numFmtId="164" fontId="0" fillId="5" borderId="1" xfId="1" applyNumberFormat="1" applyFont="1" applyFill="1" applyBorder="1" applyProtection="1">
      <protection locked="0"/>
    </xf>
    <xf numFmtId="164" fontId="0" fillId="5" borderId="9" xfId="1" applyNumberFormat="1" applyFont="1" applyFill="1" applyBorder="1" applyProtection="1">
      <protection locked="0"/>
    </xf>
    <xf numFmtId="0" fontId="0" fillId="7" borderId="58" xfId="0" applyFill="1" applyBorder="1" applyProtection="1">
      <protection locked="0"/>
    </xf>
    <xf numFmtId="0" fontId="0" fillId="7" borderId="58" xfId="0" applyFill="1" applyBorder="1" applyProtection="1">
      <protection locked="0"/>
    </xf>
    <xf numFmtId="16" fontId="0" fillId="7" borderId="1" xfId="0" applyNumberFormat="1" applyFill="1" applyBorder="1" applyProtection="1">
      <protection locked="0"/>
    </xf>
    <xf numFmtId="164" fontId="0" fillId="7" borderId="109" xfId="1" applyNumberFormat="1" applyFont="1" applyFill="1" applyBorder="1" applyAlignment="1" applyProtection="1">
      <alignment horizontal="center"/>
      <protection locked="0"/>
    </xf>
    <xf numFmtId="164" fontId="28" fillId="7" borderId="109" xfId="1" applyNumberFormat="1" applyFont="1" applyFill="1" applyBorder="1" applyAlignment="1" applyProtection="1">
      <alignment horizontal="center"/>
      <protection locked="0"/>
    </xf>
    <xf numFmtId="164" fontId="0" fillId="7" borderId="134" xfId="1" applyNumberFormat="1" applyFont="1" applyFill="1" applyBorder="1" applyProtection="1">
      <protection locked="0"/>
    </xf>
    <xf numFmtId="164" fontId="0" fillId="7" borderId="109" xfId="1" applyNumberFormat="1" applyFont="1" applyFill="1" applyBorder="1" applyProtection="1">
      <protection locked="0"/>
    </xf>
    <xf numFmtId="164" fontId="0" fillId="7" borderId="109" xfId="1" applyNumberFormat="1" applyFont="1" applyFill="1" applyBorder="1" applyAlignment="1" applyProtection="1">
      <alignment vertical="center"/>
      <protection locked="0"/>
    </xf>
    <xf numFmtId="0" fontId="0" fillId="7" borderId="120" xfId="0" applyFill="1" applyBorder="1" applyAlignment="1" applyProtection="1">
      <alignment vertical="center"/>
      <protection locked="0"/>
    </xf>
    <xf numFmtId="164" fontId="0" fillId="7" borderId="110" xfId="1" applyNumberFormat="1" applyFont="1" applyFill="1" applyBorder="1" applyAlignment="1" applyProtection="1">
      <alignment vertical="center"/>
      <protection locked="0"/>
    </xf>
    <xf numFmtId="164" fontId="0" fillId="7" borderId="109" xfId="1" applyNumberFormat="1" applyFont="1" applyFill="1" applyBorder="1" applyAlignment="1" applyProtection="1">
      <alignment horizontal="left"/>
      <protection locked="0"/>
    </xf>
    <xf numFmtId="38" fontId="0" fillId="7" borderId="109" xfId="1" applyNumberFormat="1" applyFont="1" applyFill="1" applyBorder="1" applyProtection="1">
      <protection locked="0"/>
    </xf>
    <xf numFmtId="38" fontId="28" fillId="7" borderId="109" xfId="1" applyNumberFormat="1" applyFont="1" applyFill="1" applyBorder="1" applyProtection="1">
      <protection locked="0"/>
    </xf>
    <xf numFmtId="38" fontId="0" fillId="7" borderId="109" xfId="1" applyNumberFormat="1" applyFont="1" applyFill="1" applyBorder="1" applyAlignment="1" applyProtection="1">
      <protection locked="0"/>
    </xf>
    <xf numFmtId="164" fontId="0" fillId="7" borderId="110" xfId="1" applyNumberFormat="1" applyFont="1" applyFill="1" applyBorder="1" applyProtection="1">
      <protection locked="0"/>
    </xf>
    <xf numFmtId="0" fontId="0" fillId="7" borderId="120" xfId="0" applyFill="1" applyBorder="1" applyProtection="1">
      <protection locked="0"/>
    </xf>
    <xf numFmtId="0" fontId="8" fillId="7" borderId="120" xfId="0" applyFont="1" applyFill="1" applyBorder="1" applyProtection="1">
      <protection locked="0"/>
    </xf>
    <xf numFmtId="164" fontId="8" fillId="7" borderId="110" xfId="1" applyNumberFormat="1" applyFont="1" applyFill="1" applyBorder="1" applyProtection="1">
      <protection locked="0"/>
    </xf>
    <xf numFmtId="2" fontId="8" fillId="18" borderId="109" xfId="0" applyNumberFormat="1" applyFont="1" applyFill="1" applyBorder="1" applyAlignment="1" applyProtection="1">
      <alignment horizontal="center"/>
      <protection locked="0"/>
    </xf>
    <xf numFmtId="38" fontId="8" fillId="18" borderId="109" xfId="0" applyNumberFormat="1" applyFont="1" applyFill="1" applyBorder="1" applyAlignment="1" applyProtection="1">
      <alignment horizontal="center"/>
      <protection locked="0"/>
    </xf>
    <xf numFmtId="167" fontId="8" fillId="18" borderId="109" xfId="0" applyNumberFormat="1" applyFont="1" applyFill="1" applyBorder="1" applyAlignment="1" applyProtection="1">
      <alignment horizontal="center"/>
      <protection locked="0"/>
    </xf>
    <xf numFmtId="9" fontId="8" fillId="18" borderId="109" xfId="0" applyNumberFormat="1" applyFont="1" applyFill="1" applyBorder="1" applyAlignment="1" applyProtection="1">
      <alignment horizontal="center"/>
      <protection locked="0"/>
    </xf>
    <xf numFmtId="39" fontId="8" fillId="18" borderId="109" xfId="0" applyNumberFormat="1" applyFont="1" applyFill="1" applyBorder="1" applyAlignment="1" applyProtection="1">
      <alignment horizontal="center"/>
      <protection locked="0"/>
    </xf>
    <xf numFmtId="167" fontId="8" fillId="18" borderId="109" xfId="2" applyNumberFormat="1" applyFont="1" applyFill="1" applyBorder="1" applyAlignment="1" applyProtection="1">
      <alignment horizontal="center"/>
      <protection locked="0"/>
    </xf>
    <xf numFmtId="40" fontId="8" fillId="18" borderId="109" xfId="1" applyNumberFormat="1" applyFont="1" applyFill="1" applyBorder="1" applyAlignment="1" applyProtection="1">
      <alignment horizontal="center"/>
      <protection locked="0"/>
    </xf>
    <xf numFmtId="9" fontId="8" fillId="18" borderId="109" xfId="2" applyNumberFormat="1" applyFont="1" applyFill="1" applyBorder="1" applyAlignment="1" applyProtection="1">
      <alignment horizontal="center"/>
      <protection locked="0"/>
    </xf>
    <xf numFmtId="169" fontId="8" fillId="18" borderId="109" xfId="1" applyNumberFormat="1" applyFont="1" applyFill="1" applyBorder="1" applyAlignment="1" applyProtection="1">
      <alignment horizontal="center"/>
      <protection locked="0"/>
    </xf>
    <xf numFmtId="169" fontId="8" fillId="18" borderId="109" xfId="0" applyNumberFormat="1" applyFont="1" applyFill="1" applyBorder="1" applyAlignment="1" applyProtection="1">
      <alignment horizontal="center"/>
      <protection locked="0"/>
    </xf>
    <xf numFmtId="9" fontId="8" fillId="18" borderId="109" xfId="2" applyNumberFormat="1" applyFont="1" applyFill="1" applyBorder="1" applyAlignment="1" applyProtection="1">
      <alignment horizontal="center" vertical="center"/>
      <protection locked="0"/>
    </xf>
    <xf numFmtId="9" fontId="8" fillId="18" borderId="118" xfId="2" applyNumberFormat="1" applyFont="1" applyFill="1" applyBorder="1" applyAlignment="1" applyProtection="1">
      <alignment horizontal="center"/>
      <protection locked="0"/>
    </xf>
    <xf numFmtId="164" fontId="8" fillId="18" borderId="109" xfId="1" applyNumberFormat="1" applyFont="1" applyFill="1" applyBorder="1" applyAlignment="1" applyProtection="1">
      <alignment horizontal="center"/>
      <protection locked="0"/>
    </xf>
    <xf numFmtId="164" fontId="8" fillId="18" borderId="134" xfId="1" applyNumberFormat="1" applyFont="1" applyFill="1" applyBorder="1" applyAlignment="1" applyProtection="1">
      <alignment horizontal="center"/>
      <protection locked="0"/>
    </xf>
    <xf numFmtId="167" fontId="8" fillId="18" borderId="109" xfId="2" applyNumberFormat="1" applyFont="1" applyFill="1" applyBorder="1" applyAlignment="1" applyProtection="1">
      <alignment horizontal="center" vertical="center"/>
      <protection locked="0"/>
    </xf>
    <xf numFmtId="9" fontId="8" fillId="18" borderId="176" xfId="2" applyNumberFormat="1" applyFont="1" applyFill="1" applyBorder="1" applyAlignment="1" applyProtection="1">
      <alignment horizontal="center"/>
      <protection locked="0"/>
    </xf>
    <xf numFmtId="39" fontId="8" fillId="18" borderId="98" xfId="2" applyNumberFormat="1" applyFont="1" applyFill="1" applyBorder="1" applyAlignment="1" applyProtection="1">
      <alignment horizontal="center"/>
      <protection locked="0"/>
    </xf>
    <xf numFmtId="39" fontId="8" fillId="18" borderId="181" xfId="2" applyNumberFormat="1" applyFont="1" applyFill="1" applyBorder="1" applyAlignment="1" applyProtection="1">
      <alignment horizontal="center"/>
      <protection locked="0"/>
    </xf>
    <xf numFmtId="9" fontId="8" fillId="18" borderId="108" xfId="2" applyNumberFormat="1" applyFont="1" applyFill="1" applyBorder="1" applyAlignment="1" applyProtection="1">
      <alignment horizontal="center"/>
      <protection locked="0"/>
    </xf>
    <xf numFmtId="9" fontId="8" fillId="18" borderId="110" xfId="2" applyNumberFormat="1" applyFont="1" applyFill="1" applyBorder="1" applyAlignment="1" applyProtection="1">
      <alignment horizontal="center"/>
      <protection locked="0"/>
    </xf>
    <xf numFmtId="9" fontId="8" fillId="18" borderId="120" xfId="2" applyNumberFormat="1" applyFont="1" applyFill="1" applyBorder="1" applyAlignment="1" applyProtection="1">
      <alignment horizontal="center"/>
      <protection locked="0"/>
    </xf>
    <xf numFmtId="167" fontId="8" fillId="18" borderId="108" xfId="2" applyNumberFormat="1" applyFont="1" applyFill="1" applyBorder="1" applyAlignment="1" applyProtection="1">
      <alignment horizontal="center"/>
      <protection locked="0"/>
    </xf>
    <xf numFmtId="167" fontId="8" fillId="18" borderId="110" xfId="2" applyNumberFormat="1" applyFont="1" applyFill="1" applyBorder="1" applyAlignment="1" applyProtection="1">
      <alignment horizontal="center"/>
      <protection locked="0"/>
    </xf>
    <xf numFmtId="167" fontId="8" fillId="18" borderId="120" xfId="2" applyNumberFormat="1" applyFont="1" applyFill="1" applyBorder="1" applyAlignment="1" applyProtection="1">
      <alignment horizontal="center"/>
      <protection locked="0"/>
    </xf>
    <xf numFmtId="167" fontId="8" fillId="18" borderId="108" xfId="2" applyNumberFormat="1" applyFont="1" applyFill="1" applyBorder="1" applyAlignment="1" applyProtection="1">
      <alignment horizontal="center" vertical="center"/>
      <protection locked="0"/>
    </xf>
    <xf numFmtId="167" fontId="8" fillId="18" borderId="110" xfId="2" applyNumberFormat="1" applyFont="1" applyFill="1" applyBorder="1" applyAlignment="1" applyProtection="1">
      <alignment horizontal="center" vertical="center"/>
      <protection locked="0"/>
    </xf>
    <xf numFmtId="167" fontId="8" fillId="18" borderId="120" xfId="2" applyNumberFormat="1" applyFont="1" applyFill="1" applyBorder="1" applyAlignment="1" applyProtection="1">
      <alignment horizontal="center" vertical="center"/>
      <protection locked="0"/>
    </xf>
    <xf numFmtId="9" fontId="8" fillId="18" borderId="145" xfId="2" applyNumberFormat="1" applyFont="1" applyFill="1" applyBorder="1" applyAlignment="1" applyProtection="1">
      <alignment horizontal="center"/>
      <protection locked="0"/>
    </xf>
    <xf numFmtId="9" fontId="8" fillId="18" borderId="157" xfId="2" applyNumberFormat="1" applyFont="1" applyFill="1" applyBorder="1" applyAlignment="1" applyProtection="1">
      <alignment horizontal="center"/>
      <protection locked="0"/>
    </xf>
    <xf numFmtId="9" fontId="8" fillId="18" borderId="165" xfId="2" applyNumberFormat="1" applyFont="1" applyFill="1" applyBorder="1" applyAlignment="1" applyProtection="1">
      <alignment horizontal="center"/>
      <protection locked="0"/>
    </xf>
    <xf numFmtId="39" fontId="8" fillId="18" borderId="97" xfId="2" applyNumberFormat="1" applyFont="1" applyFill="1" applyBorder="1" applyAlignment="1" applyProtection="1">
      <alignment horizontal="center"/>
      <protection locked="0"/>
    </xf>
    <xf numFmtId="39" fontId="8" fillId="18" borderId="89" xfId="2" applyNumberFormat="1" applyFont="1" applyFill="1" applyBorder="1" applyAlignment="1" applyProtection="1">
      <alignment horizontal="center"/>
      <protection locked="0"/>
    </xf>
    <xf numFmtId="39" fontId="8" fillId="18" borderId="88" xfId="2" applyNumberFormat="1" applyFont="1" applyFill="1" applyBorder="1" applyAlignment="1" applyProtection="1">
      <alignment horizontal="center"/>
      <protection locked="0"/>
    </xf>
    <xf numFmtId="39" fontId="8" fillId="18" borderId="102" xfId="2" applyNumberFormat="1" applyFont="1" applyFill="1" applyBorder="1" applyAlignment="1" applyProtection="1">
      <alignment horizontal="center"/>
      <protection locked="0"/>
    </xf>
    <xf numFmtId="39" fontId="8" fillId="18" borderId="91" xfId="2" applyNumberFormat="1" applyFont="1" applyFill="1" applyBorder="1" applyAlignment="1" applyProtection="1">
      <alignment horizontal="center"/>
      <protection locked="0"/>
    </xf>
    <xf numFmtId="39" fontId="8" fillId="18" borderId="90" xfId="2" applyNumberFormat="1" applyFont="1" applyFill="1" applyBorder="1" applyAlignment="1" applyProtection="1">
      <alignment horizontal="center"/>
      <protection locked="0"/>
    </xf>
    <xf numFmtId="164" fontId="8" fillId="18" borderId="136" xfId="1" applyNumberFormat="1" applyFont="1" applyFill="1" applyBorder="1" applyAlignment="1" applyProtection="1">
      <alignment horizontal="center"/>
      <protection locked="0"/>
    </xf>
    <xf numFmtId="164" fontId="8" fillId="18" borderId="137" xfId="1" applyNumberFormat="1" applyFont="1" applyFill="1" applyBorder="1" applyAlignment="1" applyProtection="1">
      <alignment horizontal="center"/>
      <protection locked="0"/>
    </xf>
    <xf numFmtId="164" fontId="8" fillId="18" borderId="138" xfId="1" applyNumberFormat="1" applyFont="1" applyFill="1" applyBorder="1" applyAlignment="1" applyProtection="1">
      <alignment horizontal="center"/>
      <protection locked="0"/>
    </xf>
    <xf numFmtId="169" fontId="8" fillId="18" borderId="108" xfId="0" applyNumberFormat="1" applyFont="1" applyFill="1" applyBorder="1" applyAlignment="1" applyProtection="1">
      <alignment horizontal="center"/>
      <protection locked="0"/>
    </xf>
    <xf numFmtId="169" fontId="8" fillId="18" borderId="110" xfId="0" applyNumberFormat="1" applyFont="1" applyFill="1" applyBorder="1" applyAlignment="1" applyProtection="1">
      <alignment horizontal="center"/>
      <protection locked="0"/>
    </xf>
    <xf numFmtId="9" fontId="8" fillId="18" borderId="108" xfId="2" applyNumberFormat="1" applyFont="1" applyFill="1" applyBorder="1" applyAlignment="1" applyProtection="1">
      <alignment horizontal="center" vertical="center"/>
      <protection locked="0"/>
    </xf>
    <xf numFmtId="9" fontId="8" fillId="18" borderId="110" xfId="2" applyNumberFormat="1" applyFont="1" applyFill="1" applyBorder="1" applyAlignment="1" applyProtection="1">
      <alignment horizontal="center" vertical="center"/>
      <protection locked="0"/>
    </xf>
    <xf numFmtId="9" fontId="8" fillId="18" borderId="116" xfId="2" applyNumberFormat="1" applyFont="1" applyFill="1" applyBorder="1" applyAlignment="1" applyProtection="1">
      <alignment horizontal="center"/>
      <protection locked="0"/>
    </xf>
    <xf numFmtId="9" fontId="8" fillId="18" borderId="117" xfId="2" applyNumberFormat="1" applyFont="1" applyFill="1" applyBorder="1" applyAlignment="1" applyProtection="1">
      <alignment horizontal="center"/>
      <protection locked="0"/>
    </xf>
    <xf numFmtId="40" fontId="8" fillId="18" borderId="108" xfId="1" applyNumberFormat="1" applyFont="1" applyFill="1" applyBorder="1" applyAlignment="1" applyProtection="1">
      <alignment horizontal="center"/>
      <protection locked="0"/>
    </xf>
    <xf numFmtId="40" fontId="8" fillId="18" borderId="110" xfId="1" applyNumberFormat="1" applyFont="1" applyFill="1" applyBorder="1" applyAlignment="1" applyProtection="1">
      <alignment horizontal="center"/>
      <protection locked="0"/>
    </xf>
    <xf numFmtId="2" fontId="8" fillId="18" borderId="108" xfId="0" applyNumberFormat="1" applyFont="1" applyFill="1" applyBorder="1" applyAlignment="1" applyProtection="1">
      <alignment horizontal="center"/>
      <protection locked="0"/>
    </xf>
    <xf numFmtId="2" fontId="8" fillId="18" borderId="110" xfId="0" applyNumberFormat="1" applyFont="1" applyFill="1" applyBorder="1" applyAlignment="1" applyProtection="1">
      <alignment horizontal="center"/>
      <protection locked="0"/>
    </xf>
    <xf numFmtId="39" fontId="8" fillId="18" borderId="108" xfId="0" applyNumberFormat="1" applyFont="1" applyFill="1" applyBorder="1" applyAlignment="1" applyProtection="1">
      <alignment horizontal="center"/>
      <protection locked="0"/>
    </xf>
    <xf numFmtId="39" fontId="8" fillId="18" borderId="110" xfId="0" applyNumberFormat="1" applyFont="1" applyFill="1" applyBorder="1" applyAlignment="1" applyProtection="1">
      <alignment horizontal="center"/>
      <protection locked="0"/>
    </xf>
    <xf numFmtId="0" fontId="15" fillId="18" borderId="108" xfId="0" applyFont="1" applyFill="1" applyBorder="1" applyAlignment="1" applyProtection="1">
      <alignment horizontal="center"/>
      <protection locked="0"/>
    </xf>
    <xf numFmtId="0" fontId="15" fillId="18" borderId="110" xfId="0" applyFont="1" applyFill="1" applyBorder="1" applyAlignment="1" applyProtection="1">
      <alignment horizontal="center"/>
      <protection locked="0"/>
    </xf>
    <xf numFmtId="38" fontId="8" fillId="18" borderId="108" xfId="0" applyNumberFormat="1" applyFont="1" applyFill="1" applyBorder="1" applyAlignment="1" applyProtection="1">
      <alignment horizontal="center"/>
      <protection locked="0"/>
    </xf>
    <xf numFmtId="38" fontId="8" fillId="18" borderId="110" xfId="0" applyNumberFormat="1" applyFont="1" applyFill="1" applyBorder="1" applyAlignment="1" applyProtection="1">
      <alignment horizontal="center"/>
      <protection locked="0"/>
    </xf>
    <xf numFmtId="0" fontId="5" fillId="7" borderId="173" xfId="0" applyFont="1" applyFill="1" applyBorder="1" applyAlignment="1" applyProtection="1">
      <alignment horizontal="center" vertical="center" wrapText="1"/>
      <protection locked="0"/>
    </xf>
    <xf numFmtId="0" fontId="5" fillId="7" borderId="174" xfId="0" applyFont="1" applyFill="1" applyBorder="1" applyAlignment="1" applyProtection="1">
      <alignment horizontal="center" vertical="center" wrapText="1"/>
      <protection locked="0"/>
    </xf>
    <xf numFmtId="0" fontId="5" fillId="7" borderId="58" xfId="0" applyFont="1" applyFill="1" applyBorder="1" applyAlignment="1" applyProtection="1">
      <alignment horizontal="center" vertical="center"/>
      <protection locked="0"/>
    </xf>
    <xf numFmtId="167" fontId="0" fillId="7" borderId="136" xfId="2" applyNumberFormat="1" applyFont="1" applyFill="1" applyBorder="1" applyAlignment="1" applyProtection="1">
      <alignment horizontal="center"/>
      <protection locked="0"/>
    </xf>
    <xf numFmtId="167" fontId="0" fillId="7" borderId="108" xfId="2" applyNumberFormat="1" applyFont="1" applyFill="1" applyBorder="1" applyAlignment="1" applyProtection="1">
      <alignment horizontal="center"/>
      <protection locked="0"/>
    </xf>
    <xf numFmtId="167" fontId="0" fillId="7" borderId="108" xfId="2" applyNumberFormat="1" applyFont="1" applyFill="1" applyBorder="1" applyAlignment="1" applyProtection="1">
      <alignment horizontal="center" vertical="center" wrapText="1"/>
      <protection locked="0"/>
    </xf>
    <xf numFmtId="37" fontId="0" fillId="7" borderId="1" xfId="1" applyNumberFormat="1" applyFont="1" applyFill="1" applyBorder="1" applyAlignment="1" applyProtection="1">
      <alignment horizontal="center"/>
      <protection locked="0"/>
    </xf>
    <xf numFmtId="9" fontId="0" fillId="7" borderId="1" xfId="2" applyFont="1" applyFill="1" applyBorder="1" applyAlignment="1" applyProtection="1">
      <alignment horizontal="center"/>
      <protection locked="0"/>
    </xf>
    <xf numFmtId="9" fontId="0" fillId="7" borderId="6" xfId="2" applyFont="1" applyFill="1" applyBorder="1" applyAlignment="1" applyProtection="1">
      <alignment horizontal="center"/>
      <protection locked="0"/>
    </xf>
    <xf numFmtId="9" fontId="0" fillId="0" borderId="1" xfId="2" applyFont="1" applyBorder="1" applyAlignment="1" applyProtection="1">
      <alignment horizontal="center"/>
    </xf>
    <xf numFmtId="9" fontId="0" fillId="7" borderId="20" xfId="2" applyFont="1" applyFill="1" applyBorder="1" applyAlignment="1" applyProtection="1">
      <alignment horizontal="center"/>
      <protection locked="0"/>
    </xf>
    <xf numFmtId="38" fontId="0" fillId="7" borderId="89" xfId="1" applyNumberFormat="1" applyFont="1" applyFill="1" applyBorder="1" applyProtection="1">
      <protection locked="0"/>
    </xf>
    <xf numFmtId="38" fontId="25" fillId="7" borderId="89" xfId="1" applyNumberFormat="1" applyFont="1" applyFill="1" applyBorder="1" applyProtection="1">
      <protection locked="0"/>
    </xf>
    <xf numFmtId="1" fontId="5" fillId="7" borderId="1" xfId="1" applyNumberFormat="1" applyFont="1" applyFill="1" applyBorder="1" applyAlignment="1" applyProtection="1">
      <alignment horizontal="center" vertical="center"/>
      <protection locked="0"/>
    </xf>
    <xf numFmtId="0" fontId="0" fillId="7" borderId="1" xfId="1" applyNumberFormat="1" applyFont="1" applyFill="1" applyBorder="1" applyAlignment="1" applyProtection="1">
      <alignment horizontal="center"/>
      <protection locked="0"/>
    </xf>
    <xf numFmtId="0" fontId="5" fillId="7" borderId="106" xfId="0" applyFont="1" applyFill="1" applyBorder="1" applyAlignment="1" applyProtection="1">
      <alignment horizontal="center"/>
      <protection locked="0"/>
    </xf>
    <xf numFmtId="0" fontId="0" fillId="7" borderId="108" xfId="0" applyFill="1" applyBorder="1" applyProtection="1">
      <protection locked="0"/>
    </xf>
    <xf numFmtId="3" fontId="0" fillId="7" borderId="109" xfId="0" applyNumberFormat="1" applyFill="1" applyBorder="1" applyProtection="1">
      <protection locked="0"/>
    </xf>
    <xf numFmtId="0" fontId="0" fillId="7" borderId="127" xfId="0" applyFill="1" applyBorder="1" applyAlignment="1" applyProtection="1">
      <alignment horizontal="center"/>
      <protection locked="0"/>
    </xf>
    <xf numFmtId="0" fontId="0" fillId="7" borderId="140" xfId="0" applyFill="1" applyBorder="1" applyAlignment="1" applyProtection="1">
      <alignment horizontal="center"/>
      <protection locked="0"/>
    </xf>
    <xf numFmtId="0" fontId="0" fillId="7" borderId="141" xfId="0" applyFill="1" applyBorder="1" applyAlignment="1" applyProtection="1">
      <alignment horizontal="center"/>
      <protection locked="0"/>
    </xf>
    <xf numFmtId="6" fontId="0" fillId="7" borderId="109" xfId="0" applyNumberFormat="1" applyFill="1" applyBorder="1" applyProtection="1">
      <protection locked="0"/>
    </xf>
  </cellXfs>
  <cellStyles count="5">
    <cellStyle name="Comma" xfId="1" builtinId="3"/>
    <cellStyle name="Currency" xfId="4" builtinId="4"/>
    <cellStyle name="Normal" xfId="0" builtinId="0"/>
    <cellStyle name="Normal 2" xfId="3" xr:uid="{00000000-0005-0000-0000-000003000000}"/>
    <cellStyle name="Percent" xfId="2" builtinId="5"/>
  </cellStyles>
  <dxfs count="0"/>
  <tableStyles count="0" defaultTableStyle="TableStyleMedium9" defaultPivotStyle="PivotStyleLight16"/>
  <colors>
    <mruColors>
      <color rgb="FFFFFF81"/>
      <color rgb="FFFFFFB3"/>
      <color rgb="FFFFFF66"/>
      <color rgb="FFFFFF1D"/>
      <color rgb="FFFFFF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Where Do</a:t>
            </a:r>
            <a:r>
              <a:rPr lang="en-US" baseline="0"/>
              <a:t> Revenues Go?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'Ratio Analysis'!$C$92:$C$96</c:f>
              <c:strCache>
                <c:ptCount val="5"/>
                <c:pt idx="0">
                  <c:v>Operating Expenses</c:v>
                </c:pt>
                <c:pt idx="1">
                  <c:v>Depreciation Expenses</c:v>
                </c:pt>
                <c:pt idx="2">
                  <c:v>Interest Expenses</c:v>
                </c:pt>
                <c:pt idx="3">
                  <c:v>Wages</c:v>
                </c:pt>
                <c:pt idx="4">
                  <c:v>Profits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8-211A-4C71-AFC9-FA1FF15B84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211A-4C71-AFC9-FA1FF15B84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248-4680-9AAF-60A8BDF3EB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11A-4C71-AFC9-FA1FF15B84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CCC-4739-B433-48CCB5D0A731}"/>
              </c:ext>
            </c:extLst>
          </c:dPt>
          <c:dLbls>
            <c:dLbl>
              <c:idx val="3"/>
              <c:layout>
                <c:manualLayout>
                  <c:x val="2.6893226098592082E-2"/>
                  <c:y val="1.3509625290012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11A-4C71-AFC9-FA1FF15B84AD}"/>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'Ratio Analysis'!$C$92:$C$96</c:f>
              <c:strCache>
                <c:ptCount val="5"/>
                <c:pt idx="0">
                  <c:v>Operating Expenses</c:v>
                </c:pt>
                <c:pt idx="1">
                  <c:v>Depreciation Expenses</c:v>
                </c:pt>
                <c:pt idx="2">
                  <c:v>Interest Expenses</c:v>
                </c:pt>
                <c:pt idx="3">
                  <c:v>Wages</c:v>
                </c:pt>
                <c:pt idx="4">
                  <c:v>Profits</c:v>
                </c:pt>
              </c:strCache>
            </c:strRef>
          </c:cat>
          <c:val>
            <c:numRef>
              <c:f>'Ratio Analysis'!$G$41:$G$45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211A-4C71-AFC9-FA1FF15B84AD}"/>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1685925</xdr:colOff>
      <xdr:row>0</xdr:row>
      <xdr:rowOff>3035300</xdr:rowOff>
    </xdr:from>
    <xdr:to>
      <xdr:col>1</xdr:col>
      <xdr:colOff>4240036</xdr:colOff>
      <xdr:row>0</xdr:row>
      <xdr:rowOff>3716935</xdr:rowOff>
    </xdr:to>
    <xdr:pic>
      <xdr:nvPicPr>
        <xdr:cNvPr id="2" name="Picture 1">
          <a:extLst>
            <a:ext uri="{FF2B5EF4-FFF2-40B4-BE49-F238E27FC236}">
              <a16:creationId xmlns:a16="http://schemas.microsoft.com/office/drawing/2014/main" id="{4B5DD8C4-BA6C-4015-A770-B0A5C9669EF7}"/>
            </a:ext>
          </a:extLst>
        </xdr:cNvPr>
        <xdr:cNvPicPr>
          <a:picLocks noChangeAspect="1"/>
        </xdr:cNvPicPr>
      </xdr:nvPicPr>
      <xdr:blipFill>
        <a:blip xmlns:r="http://schemas.openxmlformats.org/officeDocument/2006/relationships" r:embed="rId1"/>
        <a:stretch>
          <a:fillRect/>
        </a:stretch>
      </xdr:blipFill>
      <xdr:spPr>
        <a:xfrm>
          <a:off x="2297113" y="3035300"/>
          <a:ext cx="2554111" cy="681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114301</xdr:colOff>
      <xdr:row>58</xdr:row>
      <xdr:rowOff>190500</xdr:rowOff>
    </xdr:from>
    <xdr:to>
      <xdr:col>13</xdr:col>
      <xdr:colOff>488950</xdr:colOff>
      <xdr:row>69</xdr:row>
      <xdr:rowOff>209550</xdr:rowOff>
    </xdr:to>
    <xdr:graphicFrame macro="">
      <xdr:nvGraphicFramePr>
        <xdr:cNvPr id="3" name="Chart 2">
          <a:extLst>
            <a:ext uri="{FF2B5EF4-FFF2-40B4-BE49-F238E27FC236}">
              <a16:creationId xmlns:a16="http://schemas.microsoft.com/office/drawing/2014/main" id="{5D03B34C-1D54-421F-973A-5843233E7A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xdr:colOff>
      <xdr:row>6</xdr:row>
      <xdr:rowOff>114300</xdr:rowOff>
    </xdr:from>
    <xdr:to>
      <xdr:col>2</xdr:col>
      <xdr:colOff>434340</xdr:colOff>
      <xdr:row>8</xdr:row>
      <xdr:rowOff>121920</xdr:rowOff>
    </xdr:to>
    <xdr:cxnSp macro="">
      <xdr:nvCxnSpPr>
        <xdr:cNvPr id="9" name="Straight Connector 8">
          <a:extLst>
            <a:ext uri="{FF2B5EF4-FFF2-40B4-BE49-F238E27FC236}">
              <a16:creationId xmlns:a16="http://schemas.microsoft.com/office/drawing/2014/main" id="{64A9394E-598B-4A0E-891B-A325E1BF791B}"/>
            </a:ext>
          </a:extLst>
        </xdr:cNvPr>
        <xdr:cNvCxnSpPr/>
      </xdr:nvCxnSpPr>
      <xdr:spPr>
        <a:xfrm flipV="1">
          <a:off x="922020" y="1607820"/>
          <a:ext cx="426720" cy="4114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xdr:colOff>
      <xdr:row>5</xdr:row>
      <xdr:rowOff>121920</xdr:rowOff>
    </xdr:from>
    <xdr:to>
      <xdr:col>2</xdr:col>
      <xdr:colOff>434340</xdr:colOff>
      <xdr:row>6</xdr:row>
      <xdr:rowOff>114300</xdr:rowOff>
    </xdr:to>
    <xdr:cxnSp macro="">
      <xdr:nvCxnSpPr>
        <xdr:cNvPr id="10" name="Straight Connector 9">
          <a:extLst>
            <a:ext uri="{FF2B5EF4-FFF2-40B4-BE49-F238E27FC236}">
              <a16:creationId xmlns:a16="http://schemas.microsoft.com/office/drawing/2014/main" id="{A0D3CED4-AE5D-4821-983A-224F441E88B0}"/>
            </a:ext>
          </a:extLst>
        </xdr:cNvPr>
        <xdr:cNvCxnSpPr/>
      </xdr:nvCxnSpPr>
      <xdr:spPr>
        <a:xfrm>
          <a:off x="922020" y="1417320"/>
          <a:ext cx="426720"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114300</xdr:rowOff>
    </xdr:from>
    <xdr:to>
      <xdr:col>5</xdr:col>
      <xdr:colOff>0</xdr:colOff>
      <xdr:row>8</xdr:row>
      <xdr:rowOff>106680</xdr:rowOff>
    </xdr:to>
    <xdr:cxnSp macro="">
      <xdr:nvCxnSpPr>
        <xdr:cNvPr id="11" name="Straight Connector 10">
          <a:extLst>
            <a:ext uri="{FF2B5EF4-FFF2-40B4-BE49-F238E27FC236}">
              <a16:creationId xmlns:a16="http://schemas.microsoft.com/office/drawing/2014/main" id="{19FAB2D2-C07B-457A-A67A-5E02008B4588}"/>
            </a:ext>
          </a:extLst>
        </xdr:cNvPr>
        <xdr:cNvCxnSpPr/>
      </xdr:nvCxnSpPr>
      <xdr:spPr>
        <a:xfrm>
          <a:off x="2141220" y="2065020"/>
          <a:ext cx="480060" cy="4267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106680</xdr:rowOff>
    </xdr:from>
    <xdr:to>
      <xdr:col>5</xdr:col>
      <xdr:colOff>0</xdr:colOff>
      <xdr:row>9</xdr:row>
      <xdr:rowOff>99060</xdr:rowOff>
    </xdr:to>
    <xdr:cxnSp macro="">
      <xdr:nvCxnSpPr>
        <xdr:cNvPr id="12" name="Straight Connector 11">
          <a:extLst>
            <a:ext uri="{FF2B5EF4-FFF2-40B4-BE49-F238E27FC236}">
              <a16:creationId xmlns:a16="http://schemas.microsoft.com/office/drawing/2014/main" id="{90C495DC-62C3-4472-9461-6B1EEA52BFA2}"/>
            </a:ext>
          </a:extLst>
        </xdr:cNvPr>
        <xdr:cNvCxnSpPr/>
      </xdr:nvCxnSpPr>
      <xdr:spPr>
        <a:xfrm flipV="1">
          <a:off x="2141220" y="2004060"/>
          <a:ext cx="480060" cy="2209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91440</xdr:rowOff>
    </xdr:from>
    <xdr:to>
      <xdr:col>7</xdr:col>
      <xdr:colOff>7620</xdr:colOff>
      <xdr:row>11</xdr:row>
      <xdr:rowOff>114300</xdr:rowOff>
    </xdr:to>
    <xdr:cxnSp macro="">
      <xdr:nvCxnSpPr>
        <xdr:cNvPr id="13" name="Straight Connector 12">
          <a:extLst>
            <a:ext uri="{FF2B5EF4-FFF2-40B4-BE49-F238E27FC236}">
              <a16:creationId xmlns:a16="http://schemas.microsoft.com/office/drawing/2014/main" id="{4F00ED37-88DF-4944-A9DE-B3951CDD303B}"/>
            </a:ext>
          </a:extLst>
        </xdr:cNvPr>
        <xdr:cNvCxnSpPr/>
      </xdr:nvCxnSpPr>
      <xdr:spPr>
        <a:xfrm flipV="1">
          <a:off x="3406140" y="2217420"/>
          <a:ext cx="480060" cy="419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xdr:row>
      <xdr:rowOff>91440</xdr:rowOff>
    </xdr:from>
    <xdr:to>
      <xdr:col>7</xdr:col>
      <xdr:colOff>0</xdr:colOff>
      <xdr:row>9</xdr:row>
      <xdr:rowOff>106680</xdr:rowOff>
    </xdr:to>
    <xdr:cxnSp macro="">
      <xdr:nvCxnSpPr>
        <xdr:cNvPr id="14" name="Straight Connector 13">
          <a:extLst>
            <a:ext uri="{FF2B5EF4-FFF2-40B4-BE49-F238E27FC236}">
              <a16:creationId xmlns:a16="http://schemas.microsoft.com/office/drawing/2014/main" id="{C122B1F3-732B-453B-86B8-35C5D102E211}"/>
            </a:ext>
          </a:extLst>
        </xdr:cNvPr>
        <xdr:cNvCxnSpPr/>
      </xdr:nvCxnSpPr>
      <xdr:spPr>
        <a:xfrm>
          <a:off x="3406140" y="1988820"/>
          <a:ext cx="472440" cy="2438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xdr:colOff>
      <xdr:row>11</xdr:row>
      <xdr:rowOff>121920</xdr:rowOff>
    </xdr:from>
    <xdr:to>
      <xdr:col>5</xdr:col>
      <xdr:colOff>0</xdr:colOff>
      <xdr:row>14</xdr:row>
      <xdr:rowOff>114300</xdr:rowOff>
    </xdr:to>
    <xdr:cxnSp macro="">
      <xdr:nvCxnSpPr>
        <xdr:cNvPr id="15" name="Straight Connector 14">
          <a:extLst>
            <a:ext uri="{FF2B5EF4-FFF2-40B4-BE49-F238E27FC236}">
              <a16:creationId xmlns:a16="http://schemas.microsoft.com/office/drawing/2014/main" id="{BC0C3277-7DEF-42E6-B57C-72F0CD9AE9B6}"/>
            </a:ext>
          </a:extLst>
        </xdr:cNvPr>
        <xdr:cNvCxnSpPr/>
      </xdr:nvCxnSpPr>
      <xdr:spPr>
        <a:xfrm flipV="1">
          <a:off x="922020" y="2644140"/>
          <a:ext cx="1699260" cy="601980"/>
        </a:xfrm>
        <a:prstGeom prst="line">
          <a:avLst/>
        </a:prstGeom>
        <a:ln>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079B2-2B59-4307-B552-9B2D1F1B2209}">
  <dimension ref="A1:C6"/>
  <sheetViews>
    <sheetView showGridLines="0" tabSelected="1" zoomScale="80" zoomScaleNormal="80" workbookViewId="0">
      <selection activeCell="B1" sqref="B1"/>
    </sheetView>
  </sheetViews>
  <sheetFormatPr defaultRowHeight="15" x14ac:dyDescent="0.25"/>
  <cols>
    <col min="1" max="1" width="8.7109375" style="391"/>
    <col min="2" max="2" width="84.42578125" customWidth="1"/>
    <col min="3" max="3" width="25.5703125" customWidth="1"/>
    <col min="4" max="4" width="8.7109375" customWidth="1"/>
  </cols>
  <sheetData>
    <row r="1" spans="2:3" ht="303" customHeight="1" thickBot="1" x14ac:dyDescent="0.35">
      <c r="B1" s="1392" t="s">
        <v>1148</v>
      </c>
      <c r="C1" s="970"/>
    </row>
    <row r="2" spans="2:3" ht="57.95" customHeight="1" thickBot="1" x14ac:dyDescent="0.3"/>
    <row r="3" spans="2:3" ht="23.45" customHeight="1" x14ac:dyDescent="0.25">
      <c r="B3" s="971" t="s">
        <v>954</v>
      </c>
    </row>
    <row r="4" spans="2:3" x14ac:dyDescent="0.25">
      <c r="B4" s="972" t="s">
        <v>956</v>
      </c>
    </row>
    <row r="5" spans="2:3" ht="30" x14ac:dyDescent="0.25">
      <c r="B5" s="972" t="s">
        <v>955</v>
      </c>
    </row>
    <row r="6" spans="2:3" ht="30.75" thickBot="1" x14ac:dyDescent="0.3">
      <c r="B6" s="1391" t="s">
        <v>1147</v>
      </c>
    </row>
  </sheetData>
  <sheetProtection sheet="1" objects="1" scenarios="1" select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44F46-A34D-40E2-86DC-3D159B9C686B}">
  <sheetPr>
    <tabColor theme="6" tint="0.39997558519241921"/>
  </sheetPr>
  <dimension ref="A1:N28"/>
  <sheetViews>
    <sheetView showGridLines="0" workbookViewId="0">
      <selection activeCell="K14" sqref="K14"/>
    </sheetView>
  </sheetViews>
  <sheetFormatPr defaultColWidth="8.85546875" defaultRowHeight="15" x14ac:dyDescent="0.25"/>
  <cols>
    <col min="1" max="1" width="2.42578125" style="204" customWidth="1"/>
    <col min="2" max="2" width="10.85546875" style="204" customWidth="1"/>
    <col min="3" max="3" width="6.42578125" style="204" customWidth="1"/>
    <col min="4" max="4" width="11.42578125" style="204" customWidth="1"/>
    <col min="5" max="5" width="7" style="204" customWidth="1"/>
    <col min="6" max="6" width="11.42578125" style="204" customWidth="1"/>
    <col min="7" max="7" width="6.85546875" style="204" customWidth="1"/>
    <col min="8" max="8" width="11.5703125" style="204" customWidth="1"/>
    <col min="9" max="9" width="3" style="204" customWidth="1"/>
    <col min="10" max="10" width="5.85546875" style="204" customWidth="1"/>
    <col min="11" max="11" width="20.7109375" style="204" customWidth="1"/>
    <col min="12" max="12" width="17.28515625" style="204" customWidth="1"/>
    <col min="13" max="13" width="11.7109375" style="204" customWidth="1"/>
    <col min="14" max="14" width="11.42578125" style="204" customWidth="1"/>
    <col min="15" max="16384" width="8.85546875" style="204"/>
  </cols>
  <sheetData>
    <row r="1" spans="1:14" ht="18.600000000000001" customHeight="1" thickBot="1" x14ac:dyDescent="0.3">
      <c r="A1" s="1737" t="s">
        <v>354</v>
      </c>
      <c r="B1" s="1738"/>
      <c r="C1" s="1738"/>
      <c r="D1" s="1738"/>
      <c r="E1" s="1738"/>
      <c r="F1" s="1738"/>
      <c r="G1" s="1738"/>
      <c r="H1" s="1738"/>
      <c r="I1" s="1738"/>
      <c r="K1" s="1739" t="s">
        <v>355</v>
      </c>
      <c r="L1" s="1740"/>
      <c r="M1" s="1741"/>
    </row>
    <row r="2" spans="1:14" ht="19.5" thickBot="1" x14ac:dyDescent="0.35">
      <c r="A2" s="1735">
        <f>'Input Sheet'!C4</f>
        <v>0</v>
      </c>
      <c r="B2" s="1736"/>
      <c r="C2" s="1736"/>
      <c r="D2" s="308"/>
      <c r="E2" s="308" t="s">
        <v>676</v>
      </c>
      <c r="F2" s="308">
        <f>'Input Sheet'!C9</f>
        <v>0</v>
      </c>
      <c r="G2" s="302"/>
      <c r="H2" s="301"/>
      <c r="I2" s="273"/>
      <c r="K2" s="415"/>
      <c r="L2" s="449">
        <f>'Input Sheet'!C4</f>
        <v>0</v>
      </c>
      <c r="M2" s="43"/>
    </row>
    <row r="3" spans="1:14" ht="18.75" x14ac:dyDescent="0.3">
      <c r="A3" s="1732" t="s">
        <v>357</v>
      </c>
      <c r="B3" s="1733"/>
      <c r="C3" s="1733"/>
      <c r="D3" s="1733"/>
      <c r="E3" s="1733"/>
      <c r="F3" s="1733"/>
      <c r="G3" s="1733"/>
      <c r="H3" s="1733"/>
      <c r="I3" s="1734"/>
      <c r="K3" s="276" t="s">
        <v>356</v>
      </c>
      <c r="L3" s="306">
        <f>'Input Sheet'!C9</f>
        <v>0</v>
      </c>
      <c r="M3" s="43"/>
    </row>
    <row r="4" spans="1:14" ht="15.75" x14ac:dyDescent="0.25">
      <c r="A4" s="277"/>
      <c r="B4" s="417"/>
      <c r="C4" s="417"/>
      <c r="D4" s="417"/>
      <c r="E4" s="417"/>
      <c r="F4" s="417"/>
      <c r="G4" s="418"/>
      <c r="H4" s="418"/>
      <c r="I4" s="13"/>
      <c r="K4" s="59" t="s">
        <v>274</v>
      </c>
      <c r="L4" s="338">
        <f>'Income Statement'!G71</f>
        <v>0</v>
      </c>
      <c r="M4" s="43"/>
    </row>
    <row r="5" spans="1:14" ht="15.75" x14ac:dyDescent="0.25">
      <c r="A5" s="277"/>
      <c r="B5" s="303" t="e">
        <f>'Ratio Analysis'!G16</f>
        <v>#DIV/0!</v>
      </c>
      <c r="C5" s="279"/>
      <c r="D5" s="203"/>
      <c r="E5" s="419"/>
      <c r="F5" s="418"/>
      <c r="G5" s="419"/>
      <c r="H5" s="419"/>
      <c r="I5" s="13"/>
      <c r="K5" s="59" t="s">
        <v>668</v>
      </c>
      <c r="L5" s="278" t="e">
        <f>'Ratio Analysis'!G27</f>
        <v>#DIV/0!</v>
      </c>
      <c r="M5" s="43"/>
    </row>
    <row r="6" spans="1:14" ht="15.75" x14ac:dyDescent="0.25">
      <c r="A6" s="277"/>
      <c r="B6" s="281" t="s">
        <v>358</v>
      </c>
      <c r="C6" s="419"/>
      <c r="D6" s="303" t="e">
        <f>B5*B8</f>
        <v>#DIV/0!</v>
      </c>
      <c r="E6" s="419"/>
      <c r="F6" s="419"/>
      <c r="G6" s="419"/>
      <c r="H6" s="419"/>
      <c r="I6" s="13"/>
      <c r="K6" s="59" t="s">
        <v>669</v>
      </c>
      <c r="L6" s="280" t="e">
        <f>D9</f>
        <v>#DIV/0!</v>
      </c>
      <c r="M6" s="43"/>
    </row>
    <row r="7" spans="1:14" ht="15.75" x14ac:dyDescent="0.25">
      <c r="A7" s="277"/>
      <c r="B7" s="303" t="s">
        <v>359</v>
      </c>
      <c r="C7" s="419"/>
      <c r="D7" s="281" t="s">
        <v>360</v>
      </c>
      <c r="E7" s="419"/>
      <c r="F7" s="203"/>
      <c r="G7" s="418"/>
      <c r="H7" s="419"/>
      <c r="I7" s="13"/>
      <c r="K7" s="59" t="s">
        <v>670</v>
      </c>
      <c r="L7" s="280" t="e">
        <f>L4/('Income Statement'!G52)</f>
        <v>#DIV/0!</v>
      </c>
      <c r="M7" s="43"/>
    </row>
    <row r="8" spans="1:14" ht="15.75" x14ac:dyDescent="0.25">
      <c r="A8" s="277"/>
      <c r="B8" s="303" t="e">
        <f>'Ratio Analysis'!G23</f>
        <v>#DIV/0!</v>
      </c>
      <c r="C8" s="419"/>
      <c r="D8" s="286" t="s">
        <v>363</v>
      </c>
      <c r="E8" s="419"/>
      <c r="F8" s="303" t="e">
        <f>D6-D9</f>
        <v>#DIV/0!</v>
      </c>
      <c r="G8" s="419"/>
      <c r="H8" s="419"/>
      <c r="I8" s="13"/>
      <c r="K8" s="282" t="s">
        <v>671</v>
      </c>
      <c r="L8" s="283" t="e">
        <f>'Cost of Production Summary'!E20</f>
        <v>#VALUE!</v>
      </c>
      <c r="M8" s="43" t="str">
        <f>'Cost of Production Summary'!E3</f>
        <v>Other</v>
      </c>
    </row>
    <row r="9" spans="1:14" ht="17.25" x14ac:dyDescent="0.25">
      <c r="A9" s="277"/>
      <c r="B9" s="285" t="s">
        <v>362</v>
      </c>
      <c r="C9" s="419"/>
      <c r="D9" s="307" t="e">
        <f>'Income Statement'!G71/'Balance Sheets'!H63</f>
        <v>#DIV/0!</v>
      </c>
      <c r="E9" s="419"/>
      <c r="F9" s="287" t="s">
        <v>364</v>
      </c>
      <c r="G9" s="419"/>
      <c r="H9" s="303" t="e">
        <f>F8*F11</f>
        <v>#DIV/0!</v>
      </c>
      <c r="I9" s="13"/>
      <c r="K9" s="282" t="s">
        <v>672</v>
      </c>
      <c r="L9" s="283" t="e">
        <f>'Cost of Production Summary'!F20</f>
        <v>#VALUE!</v>
      </c>
      <c r="M9" s="43"/>
    </row>
    <row r="10" spans="1:14" ht="18.75" x14ac:dyDescent="0.3">
      <c r="A10" s="277"/>
      <c r="B10" s="203"/>
      <c r="C10" s="419"/>
      <c r="D10" s="289" t="s">
        <v>366</v>
      </c>
      <c r="E10" s="419"/>
      <c r="F10" s="284" t="s">
        <v>359</v>
      </c>
      <c r="G10" s="419"/>
      <c r="H10" s="281" t="s">
        <v>367</v>
      </c>
      <c r="I10" s="13"/>
      <c r="K10" s="276" t="s">
        <v>361</v>
      </c>
      <c r="L10" s="306">
        <f>L2</f>
        <v>0</v>
      </c>
      <c r="M10" s="43"/>
    </row>
    <row r="11" spans="1:14" ht="15.75" x14ac:dyDescent="0.25">
      <c r="A11" s="277"/>
      <c r="B11" s="304"/>
      <c r="C11" s="419"/>
      <c r="D11" s="203"/>
      <c r="E11" s="419"/>
      <c r="F11" s="307" t="e">
        <f>'Balance Sheets'!H63/'Balance Sheets'!H65</f>
        <v>#DIV/0!</v>
      </c>
      <c r="G11" s="419"/>
      <c r="H11" s="258"/>
      <c r="I11" s="13"/>
      <c r="K11" s="59" t="s">
        <v>209</v>
      </c>
      <c r="L11" s="288" t="e">
        <f>'Ratio Analysis'!G10</f>
        <v>#DIV/0!</v>
      </c>
      <c r="M11" s="43"/>
    </row>
    <row r="12" spans="1:14" ht="15.75" x14ac:dyDescent="0.25">
      <c r="A12" s="277"/>
      <c r="B12" s="203"/>
      <c r="C12" s="419"/>
      <c r="D12" s="305"/>
      <c r="E12" s="419"/>
      <c r="F12" s="281" t="s">
        <v>370</v>
      </c>
      <c r="G12" s="419"/>
      <c r="H12" s="304"/>
      <c r="I12" s="13"/>
      <c r="K12" s="59" t="s">
        <v>365</v>
      </c>
      <c r="L12" s="257" t="e">
        <f>'Balance Sheets'!G58/'Input Sheet'!C35</f>
        <v>#DIV/0!</v>
      </c>
      <c r="M12" s="43"/>
    </row>
    <row r="13" spans="1:14" ht="15.75" x14ac:dyDescent="0.25">
      <c r="A13" s="277"/>
      <c r="B13" s="418"/>
      <c r="C13" s="419"/>
      <c r="D13" s="203"/>
      <c r="E13" s="203"/>
      <c r="F13" s="418" t="s">
        <v>664</v>
      </c>
      <c r="G13" s="203"/>
      <c r="H13" s="203"/>
      <c r="I13" s="13"/>
      <c r="K13" s="59" t="s">
        <v>368</v>
      </c>
      <c r="L13" s="257" t="e">
        <f>'Balance Sheets'!G58/'Input Sheet'!C38</f>
        <v>#DIV/0!</v>
      </c>
      <c r="M13" s="43"/>
    </row>
    <row r="14" spans="1:14" ht="16.5" thickBot="1" x14ac:dyDescent="0.3">
      <c r="A14" s="277"/>
      <c r="B14" s="303" t="e">
        <f>'Ratio Analysis'!G10</f>
        <v>#DIV/0!</v>
      </c>
      <c r="C14" s="418"/>
      <c r="D14" s="418"/>
      <c r="E14" s="419"/>
      <c r="F14" s="203"/>
      <c r="G14" s="419"/>
      <c r="H14" s="418"/>
      <c r="I14" s="13"/>
      <c r="K14" s="254" t="s">
        <v>369</v>
      </c>
      <c r="L14" s="416" t="e">
        <f>'Balance Sheets'!G58/'Cost of Production Summary'!F4</f>
        <v>#VALUE!</v>
      </c>
      <c r="M14" s="323"/>
    </row>
    <row r="15" spans="1:14" ht="16.5" thickBot="1" x14ac:dyDescent="0.3">
      <c r="A15" s="277"/>
      <c r="B15" s="281" t="s">
        <v>371</v>
      </c>
      <c r="C15" s="418"/>
      <c r="D15" s="203"/>
      <c r="E15" s="420"/>
      <c r="F15" s="305"/>
      <c r="G15" s="419"/>
      <c r="H15" s="419"/>
      <c r="I15" s="13"/>
    </row>
    <row r="16" spans="1:14" ht="16.5" thickBot="1" x14ac:dyDescent="0.3">
      <c r="A16" s="274"/>
      <c r="B16" s="421"/>
      <c r="C16" s="422"/>
      <c r="D16" s="422"/>
      <c r="E16" s="423"/>
      <c r="F16" s="422"/>
      <c r="G16" s="422"/>
      <c r="H16" s="422"/>
      <c r="I16" s="275"/>
      <c r="K16" s="253"/>
      <c r="L16" s="290" t="s">
        <v>199</v>
      </c>
      <c r="M16" s="290" t="s">
        <v>200</v>
      </c>
      <c r="N16" s="291" t="s">
        <v>201</v>
      </c>
    </row>
    <row r="17" spans="1:14" x14ac:dyDescent="0.25">
      <c r="A17" s="272"/>
      <c r="B17" s="272"/>
      <c r="C17" s="272"/>
      <c r="D17" s="272"/>
      <c r="E17" s="272"/>
      <c r="F17" s="272"/>
      <c r="G17" s="272"/>
      <c r="H17" s="272"/>
      <c r="I17" s="272"/>
      <c r="K17" s="59" t="s">
        <v>367</v>
      </c>
      <c r="L17" s="209" t="s">
        <v>317</v>
      </c>
      <c r="M17" s="208" t="s">
        <v>318</v>
      </c>
      <c r="N17" s="292" t="s">
        <v>319</v>
      </c>
    </row>
    <row r="18" spans="1:14" ht="15.75" x14ac:dyDescent="0.25">
      <c r="A18" s="203"/>
      <c r="B18" s="137" t="s">
        <v>684</v>
      </c>
      <c r="C18" s="204" t="s">
        <v>692</v>
      </c>
      <c r="E18" s="293"/>
      <c r="F18" s="424"/>
      <c r="G18" s="424"/>
      <c r="H18" s="424"/>
      <c r="I18" s="203"/>
      <c r="K18" s="59" t="s">
        <v>372</v>
      </c>
      <c r="L18" s="209" t="s">
        <v>340</v>
      </c>
      <c r="M18" s="208" t="s">
        <v>734</v>
      </c>
      <c r="N18" s="292" t="s">
        <v>373</v>
      </c>
    </row>
    <row r="19" spans="1:14" ht="15.75" x14ac:dyDescent="0.25">
      <c r="B19" s="137" t="s">
        <v>685</v>
      </c>
      <c r="C19" s="392" t="s">
        <v>693</v>
      </c>
      <c r="D19" s="294"/>
      <c r="F19" s="293"/>
      <c r="G19" s="293"/>
      <c r="H19" s="293"/>
      <c r="K19" s="59" t="s">
        <v>374</v>
      </c>
      <c r="L19" s="209" t="s">
        <v>313</v>
      </c>
      <c r="M19" s="208" t="s">
        <v>314</v>
      </c>
      <c r="N19" s="292" t="s">
        <v>315</v>
      </c>
    </row>
    <row r="20" spans="1:14" ht="15.75" x14ac:dyDescent="0.25">
      <c r="B20" s="137" t="s">
        <v>686</v>
      </c>
      <c r="C20" s="204" t="s">
        <v>694</v>
      </c>
      <c r="E20" s="295"/>
      <c r="F20" s="293"/>
      <c r="G20" s="293"/>
      <c r="H20" s="293"/>
      <c r="K20" s="59" t="s">
        <v>376</v>
      </c>
      <c r="L20" s="209" t="s">
        <v>375</v>
      </c>
      <c r="M20" s="208" t="s">
        <v>733</v>
      </c>
      <c r="N20" s="292" t="s">
        <v>377</v>
      </c>
    </row>
    <row r="21" spans="1:14" ht="15.75" x14ac:dyDescent="0.25">
      <c r="B21" s="137" t="s">
        <v>687</v>
      </c>
      <c r="C21" s="204" t="s">
        <v>695</v>
      </c>
      <c r="E21" s="293"/>
      <c r="F21" s="293"/>
      <c r="G21" s="293"/>
      <c r="H21" s="293"/>
      <c r="K21" s="59" t="s">
        <v>358</v>
      </c>
      <c r="L21" s="209" t="s">
        <v>321</v>
      </c>
      <c r="M21" s="208" t="s">
        <v>322</v>
      </c>
      <c r="N21" s="292" t="s">
        <v>323</v>
      </c>
    </row>
    <row r="22" spans="1:14" ht="15.75" x14ac:dyDescent="0.25">
      <c r="B22" s="137" t="s">
        <v>688</v>
      </c>
      <c r="C22" s="204" t="s">
        <v>699</v>
      </c>
      <c r="E22" s="293"/>
      <c r="F22" s="293"/>
      <c r="G22" s="293"/>
      <c r="H22" s="293"/>
      <c r="K22" s="59" t="s">
        <v>378</v>
      </c>
      <c r="L22" s="209" t="s">
        <v>379</v>
      </c>
      <c r="M22" s="208" t="s">
        <v>380</v>
      </c>
      <c r="N22" s="292" t="s">
        <v>308</v>
      </c>
    </row>
    <row r="23" spans="1:14" ht="15.75" x14ac:dyDescent="0.25">
      <c r="B23" s="137" t="s">
        <v>689</v>
      </c>
      <c r="C23" s="204" t="s">
        <v>696</v>
      </c>
      <c r="E23" s="293"/>
      <c r="F23" s="293"/>
      <c r="G23" s="293"/>
      <c r="H23" s="293"/>
      <c r="K23" s="59" t="s">
        <v>381</v>
      </c>
      <c r="L23" s="209" t="s">
        <v>212</v>
      </c>
      <c r="M23" s="208" t="s">
        <v>336</v>
      </c>
      <c r="N23" s="292" t="s">
        <v>337</v>
      </c>
    </row>
    <row r="24" spans="1:14" ht="15.75" x14ac:dyDescent="0.25">
      <c r="B24" s="137" t="s">
        <v>690</v>
      </c>
      <c r="C24" s="204" t="s">
        <v>697</v>
      </c>
      <c r="E24" s="293"/>
      <c r="F24" s="293"/>
      <c r="G24" s="293"/>
      <c r="H24" s="293"/>
      <c r="K24" s="59" t="s">
        <v>382</v>
      </c>
      <c r="L24" s="209" t="s">
        <v>307</v>
      </c>
      <c r="M24" s="208" t="s">
        <v>383</v>
      </c>
      <c r="N24" s="292" t="s">
        <v>384</v>
      </c>
    </row>
    <row r="25" spans="1:14" ht="16.5" thickBot="1" x14ac:dyDescent="0.3">
      <c r="B25" s="137" t="s">
        <v>691</v>
      </c>
      <c r="C25" s="204" t="s">
        <v>698</v>
      </c>
      <c r="E25" s="293"/>
      <c r="F25" s="293"/>
      <c r="G25" s="293"/>
      <c r="H25" s="293"/>
      <c r="K25" s="254" t="s">
        <v>371</v>
      </c>
      <c r="L25" s="296" t="s">
        <v>210</v>
      </c>
      <c r="M25" s="297" t="s">
        <v>211</v>
      </c>
      <c r="N25" s="298" t="s">
        <v>212</v>
      </c>
    </row>
    <row r="26" spans="1:14" ht="15.75" x14ac:dyDescent="0.25">
      <c r="F26" s="293"/>
      <c r="G26" s="293"/>
      <c r="H26" s="293"/>
      <c r="K26" s="425" t="s">
        <v>700</v>
      </c>
    </row>
    <row r="27" spans="1:14" ht="151.5" customHeight="1" x14ac:dyDescent="0.25">
      <c r="A27" s="365">
        <v>1</v>
      </c>
      <c r="B27" s="1723" t="s">
        <v>701</v>
      </c>
      <c r="C27" s="1723"/>
      <c r="D27" s="1723"/>
      <c r="E27" s="1723"/>
      <c r="F27" s="1723"/>
      <c r="G27" s="1723"/>
      <c r="H27" s="1723"/>
      <c r="I27" s="1723"/>
      <c r="J27" s="1723"/>
      <c r="K27" s="1723"/>
      <c r="L27" s="1723"/>
      <c r="M27" s="1723"/>
      <c r="N27" s="1723"/>
    </row>
    <row r="28" spans="1:14" ht="15.75" x14ac:dyDescent="0.25">
      <c r="D28" s="299"/>
      <c r="E28" s="300"/>
      <c r="F28" s="300"/>
      <c r="G28" s="293"/>
      <c r="H28" s="293"/>
    </row>
  </sheetData>
  <mergeCells count="5">
    <mergeCell ref="B27:N27"/>
    <mergeCell ref="A3:I3"/>
    <mergeCell ref="A2:C2"/>
    <mergeCell ref="A1:I1"/>
    <mergeCell ref="K1:M1"/>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BD84A-41C2-4CCD-80D6-2530D79B743D}">
  <sheetPr>
    <tabColor rgb="FFFFFF81"/>
  </sheetPr>
  <dimension ref="A1:P56"/>
  <sheetViews>
    <sheetView showGridLines="0" zoomScale="90" zoomScaleNormal="90" workbookViewId="0">
      <selection activeCell="J43" sqref="J43"/>
    </sheetView>
  </sheetViews>
  <sheetFormatPr defaultColWidth="8.7109375" defaultRowHeight="15" x14ac:dyDescent="0.25"/>
  <cols>
    <col min="1" max="1" width="3.42578125" style="391" customWidth="1"/>
    <col min="2" max="2" width="2.28515625" style="391" customWidth="1"/>
    <col min="3" max="3" width="47.28515625" style="391" customWidth="1"/>
    <col min="4" max="4" width="11.85546875" style="1" customWidth="1"/>
    <col min="5" max="5" width="11.140625" style="391" customWidth="1"/>
    <col min="6" max="6" width="12.5703125" style="391" customWidth="1"/>
    <col min="7" max="7" width="11.28515625" style="391" customWidth="1"/>
    <col min="8" max="8" width="12.5703125" style="391" customWidth="1"/>
    <col min="9" max="9" width="4.28515625" style="391" customWidth="1"/>
    <col min="10" max="10" width="18.85546875" style="391" customWidth="1"/>
    <col min="11" max="11" width="16" style="391" customWidth="1"/>
    <col min="12" max="12" width="15.140625" style="391" customWidth="1"/>
    <col min="13" max="16384" width="8.7109375" style="391"/>
  </cols>
  <sheetData>
    <row r="1" spans="1:16" ht="123.6" customHeight="1" x14ac:dyDescent="0.25">
      <c r="A1" s="237">
        <v>1</v>
      </c>
      <c r="B1" s="1755" t="s">
        <v>1160</v>
      </c>
      <c r="C1" s="1756"/>
      <c r="D1" s="1756"/>
      <c r="E1" s="1756"/>
      <c r="F1" s="1756"/>
      <c r="G1" s="1756"/>
      <c r="H1" s="1757"/>
      <c r="I1" s="4"/>
      <c r="J1" s="1752" t="s">
        <v>896</v>
      </c>
      <c r="K1" s="1753"/>
      <c r="L1" s="1754"/>
    </row>
    <row r="2" spans="1:16" ht="19.5" customHeight="1" x14ac:dyDescent="0.25">
      <c r="A2" s="237">
        <v>2</v>
      </c>
      <c r="B2" s="1744">
        <f>'Input Sheet'!C4</f>
        <v>0</v>
      </c>
      <c r="C2" s="1745"/>
      <c r="D2" s="1746"/>
      <c r="E2" s="1118" t="s">
        <v>1004</v>
      </c>
      <c r="F2" s="1100" t="str">
        <f>IF('Input Sheet'!C6="Milk","Milk",IF('Input Sheet'!C6="Corn","Corn",IF('Input Sheet'!C6="Soybeans","Soybeans",IF('Input Sheet'!C6="Cattle","Cattle","Other"))))</f>
        <v>Other</v>
      </c>
      <c r="G2" s="1119" t="s">
        <v>1005</v>
      </c>
      <c r="H2" s="1102" t="str">
        <f>IF('Input Sheet'!C7="Milk","Milk",IF('Input Sheet'!C7="Corn","Corn",IF('Input Sheet'!C7="Soybeans","Soybeans",IF('Input Sheet'!C7="Cattle","Cattle","Other"))))</f>
        <v>Other</v>
      </c>
      <c r="J2" s="1122" t="s">
        <v>1008</v>
      </c>
      <c r="K2" s="2014"/>
      <c r="L2" s="2015"/>
    </row>
    <row r="3" spans="1:16" ht="46.5" customHeight="1" x14ac:dyDescent="0.25">
      <c r="A3" s="237">
        <v>3</v>
      </c>
      <c r="B3" s="1747"/>
      <c r="C3" s="1748"/>
      <c r="D3" s="1749"/>
      <c r="E3" s="1120" t="s">
        <v>1006</v>
      </c>
      <c r="F3" s="1101" t="str">
        <f>IF('Input Sheet'!C6="Milk",'Input Sheet'!C40/'Income Statement'!F19,IF('Input Sheet'!C6="Corn",'Input Sheet'!C16/'Income Statement'!F19,IF('Input Sheet'!C6="Soybeans",'Input Sheet'!C22/'Income Statement'!F19,IF('Input Sheet'!C6="Cattle",'Input Sheet'!C46/'Income Statement'!F19,"Other"))))</f>
        <v>Other</v>
      </c>
      <c r="G3" s="1121" t="s">
        <v>1006</v>
      </c>
      <c r="H3" s="1103" t="str">
        <f>IF('Input Sheet'!C7="Milk",'Input Sheet'!C40/'Income Statement'!F19,IF('Input Sheet'!C7="Corn",'Input Sheet'!C16/'Income Statement'!F19,IF('Input Sheet'!C7="Soybeans",'Input Sheet'!C22/'Income Statement'!F19,IF('Input Sheet'!C7="Cattle",'Input Sheet'!C46/'Income Statement'!F19,"Other"))))</f>
        <v>Other</v>
      </c>
      <c r="J3" s="1750" t="s">
        <v>1007</v>
      </c>
      <c r="K3" s="1751"/>
      <c r="L3" s="2016"/>
    </row>
    <row r="4" spans="1:16" ht="47.1" customHeight="1" x14ac:dyDescent="0.25">
      <c r="A4" s="237">
        <v>4</v>
      </c>
      <c r="B4" s="1742" t="s">
        <v>770</v>
      </c>
      <c r="C4" s="1743"/>
      <c r="D4" s="1108" t="s">
        <v>1009</v>
      </c>
      <c r="E4" s="1109" t="s">
        <v>893</v>
      </c>
      <c r="F4" s="1110" t="s">
        <v>892</v>
      </c>
      <c r="G4" s="1111" t="s">
        <v>893</v>
      </c>
      <c r="H4" s="1112" t="s">
        <v>892</v>
      </c>
      <c r="J4" s="1115" t="s">
        <v>897</v>
      </c>
      <c r="K4" s="1116" t="s">
        <v>894</v>
      </c>
      <c r="L4" s="1117" t="s">
        <v>895</v>
      </c>
      <c r="N4" s="619"/>
      <c r="O4" s="620"/>
      <c r="P4" s="620"/>
    </row>
    <row r="5" spans="1:16" ht="18" customHeight="1" x14ac:dyDescent="0.25">
      <c r="A5" s="237">
        <v>5</v>
      </c>
      <c r="B5" s="1104"/>
      <c r="C5" s="1105" t="str">
        <f>'Income Statement'!C22</f>
        <v>Labor hired</v>
      </c>
      <c r="D5" s="1106">
        <f>'Income Statement'!G22</f>
        <v>0</v>
      </c>
      <c r="E5" s="2017"/>
      <c r="F5" s="1107">
        <f>IF((E5+G5)&gt;1,"Allocation exceeds 100%",D5*E5)</f>
        <v>0</v>
      </c>
      <c r="G5" s="2017"/>
      <c r="H5" s="1107">
        <f>IF((E5+G5)&gt;1,"Allocation exceeds 100%",D5*G5)</f>
        <v>0</v>
      </c>
      <c r="J5" s="2017"/>
      <c r="K5" s="1113">
        <f t="shared" ref="K5:K34" si="0">D5*J5</f>
        <v>0</v>
      </c>
      <c r="L5" s="1114" t="e">
        <f t="shared" ref="L5:L34" si="1">K5/$L$3</f>
        <v>#DIV/0!</v>
      </c>
    </row>
    <row r="6" spans="1:16" ht="16.350000000000001" customHeight="1" x14ac:dyDescent="0.25">
      <c r="A6" s="237">
        <v>6</v>
      </c>
      <c r="B6" s="758"/>
      <c r="C6" s="843" t="str">
        <f>'Income Statement'!C23</f>
        <v>Car and truck expenses</v>
      </c>
      <c r="D6" s="778">
        <f>'Income Statement'!G23</f>
        <v>0</v>
      </c>
      <c r="E6" s="2018"/>
      <c r="F6" s="727">
        <f t="shared" ref="F6:F34" si="2">IF((E6+G6)&gt;1,"Allocation exceeds 100%",D6*E6)</f>
        <v>0</v>
      </c>
      <c r="G6" s="2018"/>
      <c r="H6" s="727">
        <f t="shared" ref="H6:H34" si="3">IF((E6+G6)&gt;1,"Allocation exceeds 100%",D6*G6)</f>
        <v>0</v>
      </c>
      <c r="J6" s="2018"/>
      <c r="K6" s="856">
        <f t="shared" si="0"/>
        <v>0</v>
      </c>
      <c r="L6" s="857" t="e">
        <f t="shared" si="1"/>
        <v>#DIV/0!</v>
      </c>
    </row>
    <row r="7" spans="1:16" ht="16.350000000000001" customHeight="1" x14ac:dyDescent="0.25">
      <c r="A7" s="237">
        <v>7</v>
      </c>
      <c r="B7" s="758"/>
      <c r="C7" s="843" t="str">
        <f>'Income Statement'!C24</f>
        <v>Chemicals</v>
      </c>
      <c r="D7" s="778">
        <f>'Income Statement'!G24</f>
        <v>0</v>
      </c>
      <c r="E7" s="2018"/>
      <c r="F7" s="727">
        <f t="shared" si="2"/>
        <v>0</v>
      </c>
      <c r="G7" s="2018"/>
      <c r="H7" s="727">
        <f t="shared" si="3"/>
        <v>0</v>
      </c>
      <c r="J7" s="2018"/>
      <c r="K7" s="856">
        <f t="shared" si="0"/>
        <v>0</v>
      </c>
      <c r="L7" s="857" t="e">
        <f t="shared" si="1"/>
        <v>#DIV/0!</v>
      </c>
    </row>
    <row r="8" spans="1:16" ht="16.350000000000001" customHeight="1" x14ac:dyDescent="0.25">
      <c r="A8" s="237">
        <v>8</v>
      </c>
      <c r="B8" s="758"/>
      <c r="C8" s="843" t="str">
        <f>'Income Statement'!C25</f>
        <v>Conservation expenses</v>
      </c>
      <c r="D8" s="778">
        <f>'Income Statement'!G25</f>
        <v>0</v>
      </c>
      <c r="E8" s="2018"/>
      <c r="F8" s="727">
        <f t="shared" si="2"/>
        <v>0</v>
      </c>
      <c r="G8" s="2018"/>
      <c r="H8" s="727">
        <f t="shared" si="3"/>
        <v>0</v>
      </c>
      <c r="J8" s="2018"/>
      <c r="K8" s="856">
        <f t="shared" si="0"/>
        <v>0</v>
      </c>
      <c r="L8" s="857" t="e">
        <f t="shared" si="1"/>
        <v>#DIV/0!</v>
      </c>
    </row>
    <row r="9" spans="1:16" ht="16.350000000000001" customHeight="1" x14ac:dyDescent="0.25">
      <c r="A9" s="237">
        <v>9</v>
      </c>
      <c r="B9" s="758"/>
      <c r="C9" s="843" t="str">
        <f>'Income Statement'!C26</f>
        <v>Custom hire (machine work)</v>
      </c>
      <c r="D9" s="778">
        <f>'Income Statement'!G26</f>
        <v>0</v>
      </c>
      <c r="E9" s="2018"/>
      <c r="F9" s="727">
        <f t="shared" si="2"/>
        <v>0</v>
      </c>
      <c r="G9" s="2018"/>
      <c r="H9" s="727">
        <f t="shared" si="3"/>
        <v>0</v>
      </c>
      <c r="J9" s="2018"/>
      <c r="K9" s="856">
        <f t="shared" si="0"/>
        <v>0</v>
      </c>
      <c r="L9" s="857" t="e">
        <f t="shared" si="1"/>
        <v>#DIV/0!</v>
      </c>
    </row>
    <row r="10" spans="1:16" ht="16.350000000000001" customHeight="1" x14ac:dyDescent="0.25">
      <c r="A10" s="237">
        <v>10</v>
      </c>
      <c r="B10" s="758"/>
      <c r="C10" s="843" t="str">
        <f>'Income Statement'!C27</f>
        <v>Purchased feed</v>
      </c>
      <c r="D10" s="778">
        <f>'Income Statement'!G27</f>
        <v>0</v>
      </c>
      <c r="E10" s="2018"/>
      <c r="F10" s="727">
        <f t="shared" si="2"/>
        <v>0</v>
      </c>
      <c r="G10" s="2018"/>
      <c r="H10" s="727">
        <f t="shared" si="3"/>
        <v>0</v>
      </c>
      <c r="J10" s="2018"/>
      <c r="K10" s="856">
        <f t="shared" si="0"/>
        <v>0</v>
      </c>
      <c r="L10" s="857" t="e">
        <f t="shared" si="1"/>
        <v>#DIV/0!</v>
      </c>
    </row>
    <row r="11" spans="1:16" ht="16.350000000000001" customHeight="1" x14ac:dyDescent="0.25">
      <c r="A11" s="237">
        <v>11</v>
      </c>
      <c r="B11" s="758"/>
      <c r="C11" s="843" t="str">
        <f>'Income Statement'!C28</f>
        <v>Fertilizers and lime</v>
      </c>
      <c r="D11" s="778">
        <f>'Income Statement'!G28</f>
        <v>0</v>
      </c>
      <c r="E11" s="2018"/>
      <c r="F11" s="727">
        <f t="shared" si="2"/>
        <v>0</v>
      </c>
      <c r="G11" s="2018"/>
      <c r="H11" s="727">
        <f t="shared" si="3"/>
        <v>0</v>
      </c>
      <c r="J11" s="2018"/>
      <c r="K11" s="856">
        <f t="shared" si="0"/>
        <v>0</v>
      </c>
      <c r="L11" s="857" t="e">
        <f t="shared" si="1"/>
        <v>#DIV/0!</v>
      </c>
    </row>
    <row r="12" spans="1:16" ht="16.350000000000001" customHeight="1" x14ac:dyDescent="0.25">
      <c r="A12" s="237">
        <v>12</v>
      </c>
      <c r="B12" s="758"/>
      <c r="C12" s="843" t="str">
        <f>'Income Statement'!C29</f>
        <v>Freight &amp; trucking</v>
      </c>
      <c r="D12" s="778">
        <f>'Income Statement'!G29</f>
        <v>0</v>
      </c>
      <c r="E12" s="2018"/>
      <c r="F12" s="727">
        <f t="shared" si="2"/>
        <v>0</v>
      </c>
      <c r="G12" s="2018"/>
      <c r="H12" s="727">
        <f t="shared" si="3"/>
        <v>0</v>
      </c>
      <c r="J12" s="2018"/>
      <c r="K12" s="856">
        <f t="shared" si="0"/>
        <v>0</v>
      </c>
      <c r="L12" s="857" t="e">
        <f t="shared" si="1"/>
        <v>#DIV/0!</v>
      </c>
    </row>
    <row r="13" spans="1:16" ht="16.350000000000001" customHeight="1" x14ac:dyDescent="0.25">
      <c r="A13" s="237">
        <v>13</v>
      </c>
      <c r="B13" s="758"/>
      <c r="C13" s="843" t="str">
        <f>'Income Statement'!C30</f>
        <v>Gasoline, fuel and oil</v>
      </c>
      <c r="D13" s="778">
        <f>'Income Statement'!G30</f>
        <v>0</v>
      </c>
      <c r="E13" s="2018"/>
      <c r="F13" s="727">
        <f t="shared" si="2"/>
        <v>0</v>
      </c>
      <c r="G13" s="2018"/>
      <c r="H13" s="727">
        <f t="shared" si="3"/>
        <v>0</v>
      </c>
      <c r="J13" s="2018"/>
      <c r="K13" s="856">
        <f t="shared" si="0"/>
        <v>0</v>
      </c>
      <c r="L13" s="857" t="e">
        <f t="shared" si="1"/>
        <v>#DIV/0!</v>
      </c>
    </row>
    <row r="14" spans="1:16" ht="16.350000000000001" customHeight="1" x14ac:dyDescent="0.25">
      <c r="A14" s="237">
        <v>14</v>
      </c>
      <c r="B14" s="758"/>
      <c r="C14" s="843" t="str">
        <f>'Income Statement'!C31</f>
        <v>Insurance (other than health)</v>
      </c>
      <c r="D14" s="778">
        <f>'Income Statement'!G31</f>
        <v>0</v>
      </c>
      <c r="E14" s="2018"/>
      <c r="F14" s="727">
        <f t="shared" si="2"/>
        <v>0</v>
      </c>
      <c r="G14" s="2018"/>
      <c r="H14" s="727">
        <f t="shared" si="3"/>
        <v>0</v>
      </c>
      <c r="J14" s="2018"/>
      <c r="K14" s="856">
        <f t="shared" si="0"/>
        <v>0</v>
      </c>
      <c r="L14" s="857" t="e">
        <f t="shared" si="1"/>
        <v>#DIV/0!</v>
      </c>
    </row>
    <row r="15" spans="1:16" ht="16.350000000000001" customHeight="1" x14ac:dyDescent="0.25">
      <c r="A15" s="237">
        <v>15</v>
      </c>
      <c r="B15" s="758"/>
      <c r="C15" s="843" t="str">
        <f>'Income Statement'!C32</f>
        <v>Rent/lease (vehicles, machinery, equipment)</v>
      </c>
      <c r="D15" s="778">
        <f>'Income Statement'!G32</f>
        <v>0</v>
      </c>
      <c r="E15" s="2018"/>
      <c r="F15" s="727">
        <f t="shared" si="2"/>
        <v>0</v>
      </c>
      <c r="G15" s="2018"/>
      <c r="H15" s="727">
        <f t="shared" si="3"/>
        <v>0</v>
      </c>
      <c r="J15" s="2018"/>
      <c r="K15" s="856">
        <f t="shared" si="0"/>
        <v>0</v>
      </c>
      <c r="L15" s="857" t="e">
        <f t="shared" si="1"/>
        <v>#DIV/0!</v>
      </c>
    </row>
    <row r="16" spans="1:16" ht="16.350000000000001" customHeight="1" x14ac:dyDescent="0.25">
      <c r="A16" s="237">
        <v>16</v>
      </c>
      <c r="B16" s="758"/>
      <c r="C16" s="843" t="str">
        <f>'Income Statement'!C33</f>
        <v>Rent/lease (land, animals, etc.)</v>
      </c>
      <c r="D16" s="778">
        <f>'Income Statement'!G33</f>
        <v>0</v>
      </c>
      <c r="E16" s="2018"/>
      <c r="F16" s="727">
        <f t="shared" si="2"/>
        <v>0</v>
      </c>
      <c r="G16" s="2018"/>
      <c r="H16" s="727">
        <f t="shared" si="3"/>
        <v>0</v>
      </c>
      <c r="J16" s="2018"/>
      <c r="K16" s="856">
        <f t="shared" si="0"/>
        <v>0</v>
      </c>
      <c r="L16" s="857" t="e">
        <f t="shared" si="1"/>
        <v>#DIV/0!</v>
      </c>
    </row>
    <row r="17" spans="1:12" ht="16.350000000000001" customHeight="1" x14ac:dyDescent="0.25">
      <c r="A17" s="237">
        <v>17</v>
      </c>
      <c r="B17" s="758"/>
      <c r="C17" s="843" t="str">
        <f>'Income Statement'!C34</f>
        <v>Repairs and maintenance</v>
      </c>
      <c r="D17" s="778">
        <f>'Income Statement'!G34</f>
        <v>0</v>
      </c>
      <c r="E17" s="2018"/>
      <c r="F17" s="727">
        <f t="shared" si="2"/>
        <v>0</v>
      </c>
      <c r="G17" s="2018"/>
      <c r="H17" s="727">
        <f t="shared" si="3"/>
        <v>0</v>
      </c>
      <c r="J17" s="2018"/>
      <c r="K17" s="856">
        <f t="shared" si="0"/>
        <v>0</v>
      </c>
      <c r="L17" s="857" t="e">
        <f t="shared" si="1"/>
        <v>#DIV/0!</v>
      </c>
    </row>
    <row r="18" spans="1:12" ht="16.350000000000001" customHeight="1" x14ac:dyDescent="0.25">
      <c r="A18" s="237">
        <v>18</v>
      </c>
      <c r="B18" s="758"/>
      <c r="C18" s="843" t="str">
        <f>'Income Statement'!C35</f>
        <v>Seeds and plants</v>
      </c>
      <c r="D18" s="778">
        <f>'Income Statement'!G35</f>
        <v>0</v>
      </c>
      <c r="E18" s="2018"/>
      <c r="F18" s="727">
        <f t="shared" si="2"/>
        <v>0</v>
      </c>
      <c r="G18" s="2018"/>
      <c r="H18" s="727">
        <f t="shared" si="3"/>
        <v>0</v>
      </c>
      <c r="J18" s="2018"/>
      <c r="K18" s="856">
        <f t="shared" si="0"/>
        <v>0</v>
      </c>
      <c r="L18" s="857" t="e">
        <f t="shared" si="1"/>
        <v>#DIV/0!</v>
      </c>
    </row>
    <row r="19" spans="1:12" ht="16.350000000000001" customHeight="1" x14ac:dyDescent="0.25">
      <c r="A19" s="237">
        <v>19</v>
      </c>
      <c r="B19" s="758"/>
      <c r="C19" s="843" t="str">
        <f>'Income Statement'!C36</f>
        <v>Storage and warehousing</v>
      </c>
      <c r="D19" s="778">
        <f>'Income Statement'!G36</f>
        <v>0</v>
      </c>
      <c r="E19" s="2018"/>
      <c r="F19" s="727">
        <f t="shared" si="2"/>
        <v>0</v>
      </c>
      <c r="G19" s="2018"/>
      <c r="H19" s="727">
        <f t="shared" si="3"/>
        <v>0</v>
      </c>
      <c r="J19" s="2018"/>
      <c r="K19" s="856">
        <f t="shared" si="0"/>
        <v>0</v>
      </c>
      <c r="L19" s="857" t="e">
        <f t="shared" si="1"/>
        <v>#DIV/0!</v>
      </c>
    </row>
    <row r="20" spans="1:12" ht="16.350000000000001" customHeight="1" x14ac:dyDescent="0.25">
      <c r="A20" s="237">
        <v>20</v>
      </c>
      <c r="B20" s="758"/>
      <c r="C20" s="843" t="str">
        <f>'Income Statement'!C37</f>
        <v>Supplies</v>
      </c>
      <c r="D20" s="778">
        <f>'Income Statement'!G37</f>
        <v>0</v>
      </c>
      <c r="E20" s="2018"/>
      <c r="F20" s="727">
        <f t="shared" si="2"/>
        <v>0</v>
      </c>
      <c r="G20" s="2018"/>
      <c r="H20" s="727">
        <f t="shared" si="3"/>
        <v>0</v>
      </c>
      <c r="J20" s="2018"/>
      <c r="K20" s="856">
        <f t="shared" si="0"/>
        <v>0</v>
      </c>
      <c r="L20" s="857" t="e">
        <f t="shared" si="1"/>
        <v>#DIV/0!</v>
      </c>
    </row>
    <row r="21" spans="1:12" ht="16.350000000000001" customHeight="1" x14ac:dyDescent="0.25">
      <c r="A21" s="237">
        <v>21</v>
      </c>
      <c r="B21" s="758"/>
      <c r="C21" s="843" t="str">
        <f>'Income Statement'!C38</f>
        <v>Taxes (RE and personal property)</v>
      </c>
      <c r="D21" s="778">
        <f>'Income Statement'!G38</f>
        <v>0</v>
      </c>
      <c r="E21" s="2018"/>
      <c r="F21" s="727">
        <f t="shared" si="2"/>
        <v>0</v>
      </c>
      <c r="G21" s="2018"/>
      <c r="H21" s="727">
        <f t="shared" si="3"/>
        <v>0</v>
      </c>
      <c r="J21" s="2018"/>
      <c r="K21" s="856">
        <f t="shared" si="0"/>
        <v>0</v>
      </c>
      <c r="L21" s="857" t="e">
        <f t="shared" si="1"/>
        <v>#DIV/0!</v>
      </c>
    </row>
    <row r="22" spans="1:12" ht="16.350000000000001" customHeight="1" x14ac:dyDescent="0.25">
      <c r="A22" s="237">
        <v>22</v>
      </c>
      <c r="B22" s="758"/>
      <c r="C22" s="843" t="str">
        <f>'Income Statement'!C39</f>
        <v>Utilities</v>
      </c>
      <c r="D22" s="778">
        <f>'Income Statement'!G39</f>
        <v>0</v>
      </c>
      <c r="E22" s="2018"/>
      <c r="F22" s="727">
        <f t="shared" si="2"/>
        <v>0</v>
      </c>
      <c r="G22" s="2018"/>
      <c r="H22" s="727">
        <f t="shared" si="3"/>
        <v>0</v>
      </c>
      <c r="J22" s="2018"/>
      <c r="K22" s="856">
        <f t="shared" si="0"/>
        <v>0</v>
      </c>
      <c r="L22" s="857" t="e">
        <f t="shared" si="1"/>
        <v>#DIV/0!</v>
      </c>
    </row>
    <row r="23" spans="1:12" ht="16.350000000000001" customHeight="1" x14ac:dyDescent="0.25">
      <c r="A23" s="237">
        <v>23</v>
      </c>
      <c r="B23" s="758"/>
      <c r="C23" s="843" t="str">
        <f>'Income Statement'!C40</f>
        <v>Veterinary, breeding, and medicine</v>
      </c>
      <c r="D23" s="778">
        <f>'Income Statement'!G40</f>
        <v>0</v>
      </c>
      <c r="E23" s="2018"/>
      <c r="F23" s="727">
        <f t="shared" si="2"/>
        <v>0</v>
      </c>
      <c r="G23" s="2018"/>
      <c r="H23" s="727">
        <f t="shared" si="3"/>
        <v>0</v>
      </c>
      <c r="J23" s="2018"/>
      <c r="K23" s="856">
        <f t="shared" si="0"/>
        <v>0</v>
      </c>
      <c r="L23" s="857" t="e">
        <f t="shared" si="1"/>
        <v>#DIV/0!</v>
      </c>
    </row>
    <row r="24" spans="1:12" ht="16.350000000000001" customHeight="1" x14ac:dyDescent="0.25">
      <c r="A24" s="237">
        <v>24</v>
      </c>
      <c r="B24" s="758"/>
      <c r="C24" s="843" t="str">
        <f>'Income Statement'!C41</f>
        <v>Breeding fees, if separate from vet, breeding, &amp; medicine</v>
      </c>
      <c r="D24" s="778">
        <f>'Income Statement'!G41</f>
        <v>0</v>
      </c>
      <c r="E24" s="2018"/>
      <c r="F24" s="727">
        <f t="shared" si="2"/>
        <v>0</v>
      </c>
      <c r="G24" s="2018"/>
      <c r="H24" s="727">
        <f t="shared" si="3"/>
        <v>0</v>
      </c>
      <c r="J24" s="2018"/>
      <c r="K24" s="856">
        <f t="shared" si="0"/>
        <v>0</v>
      </c>
      <c r="L24" s="857" t="e">
        <f t="shared" si="1"/>
        <v>#DIV/0!</v>
      </c>
    </row>
    <row r="25" spans="1:12" ht="16.350000000000001" customHeight="1" x14ac:dyDescent="0.25">
      <c r="A25" s="237">
        <v>25</v>
      </c>
      <c r="B25" s="758"/>
      <c r="C25" s="843" t="str">
        <f>'Income Statement'!C42</f>
        <v>Bedding, if separate from other categories</v>
      </c>
      <c r="D25" s="778">
        <f>'Income Statement'!G42</f>
        <v>0</v>
      </c>
      <c r="E25" s="2018"/>
      <c r="F25" s="727">
        <f t="shared" si="2"/>
        <v>0</v>
      </c>
      <c r="G25" s="2018"/>
      <c r="H25" s="727">
        <f t="shared" si="3"/>
        <v>0</v>
      </c>
      <c r="J25" s="2018"/>
      <c r="K25" s="856">
        <f t="shared" si="0"/>
        <v>0</v>
      </c>
      <c r="L25" s="857" t="e">
        <f t="shared" si="1"/>
        <v>#DIV/0!</v>
      </c>
    </row>
    <row r="26" spans="1:12" ht="16.350000000000001" customHeight="1" x14ac:dyDescent="0.25">
      <c r="A26" s="237">
        <v>26</v>
      </c>
      <c r="B26" s="758"/>
      <c r="C26" s="843" t="str">
        <f>'Income Statement'!C43</f>
        <v>Custom heifer raising, if separate</v>
      </c>
      <c r="D26" s="778">
        <f>'Income Statement'!G43</f>
        <v>0</v>
      </c>
      <c r="E26" s="2018"/>
      <c r="F26" s="727">
        <f t="shared" si="2"/>
        <v>0</v>
      </c>
      <c r="G26" s="2018"/>
      <c r="H26" s="727">
        <f t="shared" si="3"/>
        <v>0</v>
      </c>
      <c r="J26" s="2018"/>
      <c r="K26" s="856">
        <f t="shared" si="0"/>
        <v>0</v>
      </c>
      <c r="L26" s="857" t="e">
        <f t="shared" si="1"/>
        <v>#DIV/0!</v>
      </c>
    </row>
    <row r="27" spans="1:12" ht="16.350000000000001" customHeight="1" x14ac:dyDescent="0.25">
      <c r="A27" s="237">
        <v>27</v>
      </c>
      <c r="B27" s="758"/>
      <c r="C27" s="843" t="str">
        <f>'Income Statement'!C44</f>
        <v xml:space="preserve">Marketing </v>
      </c>
      <c r="D27" s="778">
        <f>'Income Statement'!G44</f>
        <v>0</v>
      </c>
      <c r="E27" s="2018"/>
      <c r="F27" s="727">
        <f t="shared" si="2"/>
        <v>0</v>
      </c>
      <c r="G27" s="2018"/>
      <c r="H27" s="727">
        <f t="shared" si="3"/>
        <v>0</v>
      </c>
      <c r="J27" s="2018"/>
      <c r="K27" s="856">
        <f t="shared" si="0"/>
        <v>0</v>
      </c>
      <c r="L27" s="857" t="e">
        <f t="shared" si="1"/>
        <v>#DIV/0!</v>
      </c>
    </row>
    <row r="28" spans="1:12" ht="16.350000000000001" customHeight="1" x14ac:dyDescent="0.25">
      <c r="A28" s="237">
        <v>28</v>
      </c>
      <c r="B28" s="758"/>
      <c r="C28" s="843">
        <f>'Income Statement'!C45</f>
        <v>0</v>
      </c>
      <c r="D28" s="778">
        <f>'Income Statement'!G45</f>
        <v>0</v>
      </c>
      <c r="E28" s="2018"/>
      <c r="F28" s="727">
        <f t="shared" si="2"/>
        <v>0</v>
      </c>
      <c r="G28" s="2018"/>
      <c r="H28" s="727">
        <f t="shared" si="3"/>
        <v>0</v>
      </c>
      <c r="J28" s="2018"/>
      <c r="K28" s="856">
        <f t="shared" si="0"/>
        <v>0</v>
      </c>
      <c r="L28" s="857" t="e">
        <f t="shared" si="1"/>
        <v>#DIV/0!</v>
      </c>
    </row>
    <row r="29" spans="1:12" ht="16.350000000000001" customHeight="1" x14ac:dyDescent="0.25">
      <c r="A29" s="237">
        <v>29</v>
      </c>
      <c r="B29" s="758"/>
      <c r="C29" s="843" t="str">
        <f>'Income Statement'!C46</f>
        <v>Misc</v>
      </c>
      <c r="D29" s="778">
        <f>'Income Statement'!G46</f>
        <v>0</v>
      </c>
      <c r="E29" s="2018"/>
      <c r="F29" s="727">
        <f t="shared" si="2"/>
        <v>0</v>
      </c>
      <c r="G29" s="2018"/>
      <c r="H29" s="727">
        <f t="shared" si="3"/>
        <v>0</v>
      </c>
      <c r="J29" s="2018"/>
      <c r="K29" s="856">
        <f t="shared" si="0"/>
        <v>0</v>
      </c>
      <c r="L29" s="857" t="e">
        <f t="shared" si="1"/>
        <v>#DIV/0!</v>
      </c>
    </row>
    <row r="30" spans="1:12" ht="16.350000000000001" customHeight="1" x14ac:dyDescent="0.25">
      <c r="A30" s="237">
        <v>30</v>
      </c>
      <c r="B30" s="758"/>
      <c r="C30" s="843">
        <f>'Income Statement'!C47</f>
        <v>0</v>
      </c>
      <c r="D30" s="778">
        <f>'Income Statement'!G47</f>
        <v>0</v>
      </c>
      <c r="E30" s="2018"/>
      <c r="F30" s="727">
        <f t="shared" si="2"/>
        <v>0</v>
      </c>
      <c r="G30" s="2018"/>
      <c r="H30" s="727">
        <f t="shared" si="3"/>
        <v>0</v>
      </c>
      <c r="J30" s="2018"/>
      <c r="K30" s="856">
        <f t="shared" si="0"/>
        <v>0</v>
      </c>
      <c r="L30" s="857" t="e">
        <f t="shared" si="1"/>
        <v>#DIV/0!</v>
      </c>
    </row>
    <row r="31" spans="1:12" ht="16.350000000000001" customHeight="1" x14ac:dyDescent="0.25">
      <c r="A31" s="237">
        <v>31</v>
      </c>
      <c r="B31" s="758"/>
      <c r="C31" s="843" t="str">
        <f>'Income Statement'!C48</f>
        <v>Other operating expenses</v>
      </c>
      <c r="D31" s="778">
        <f>'Income Statement'!G48</f>
        <v>0</v>
      </c>
      <c r="E31" s="2018"/>
      <c r="F31" s="727">
        <f t="shared" si="2"/>
        <v>0</v>
      </c>
      <c r="G31" s="2018"/>
      <c r="H31" s="727">
        <f t="shared" si="3"/>
        <v>0</v>
      </c>
      <c r="J31" s="2018"/>
      <c r="K31" s="856">
        <f t="shared" si="0"/>
        <v>0</v>
      </c>
      <c r="L31" s="857" t="e">
        <f t="shared" si="1"/>
        <v>#DIV/0!</v>
      </c>
    </row>
    <row r="32" spans="1:12" ht="17.649999999999999" customHeight="1" x14ac:dyDescent="0.25">
      <c r="A32" s="237">
        <v>32</v>
      </c>
      <c r="B32" s="758"/>
      <c r="C32" s="843" t="str">
        <f>'Income Statement'!C49</f>
        <v>Depreciation:    Cash=Tax,    Accrual=Economic</v>
      </c>
      <c r="D32" s="778">
        <f>'Income Statement'!G49</f>
        <v>0</v>
      </c>
      <c r="E32" s="2018"/>
      <c r="F32" s="727">
        <f t="shared" si="2"/>
        <v>0</v>
      </c>
      <c r="G32" s="2018"/>
      <c r="H32" s="727">
        <f t="shared" si="3"/>
        <v>0</v>
      </c>
      <c r="J32" s="2019"/>
      <c r="K32" s="856">
        <f t="shared" si="0"/>
        <v>0</v>
      </c>
      <c r="L32" s="857" t="e">
        <f t="shared" si="1"/>
        <v>#DIV/0!</v>
      </c>
    </row>
    <row r="33" spans="1:12" ht="16.350000000000001" customHeight="1" x14ac:dyDescent="0.25">
      <c r="A33" s="237">
        <v>33</v>
      </c>
      <c r="B33" s="758"/>
      <c r="C33" s="843" t="str">
        <f>'Income Statement'!C50</f>
        <v>Accrual Adjustment for Unused Assets</v>
      </c>
      <c r="D33" s="778">
        <f>'Income Statement'!G50</f>
        <v>0</v>
      </c>
      <c r="E33" s="2018"/>
      <c r="F33" s="727">
        <f t="shared" si="2"/>
        <v>0</v>
      </c>
      <c r="G33" s="2018"/>
      <c r="H33" s="727">
        <f t="shared" si="3"/>
        <v>0</v>
      </c>
      <c r="I33" s="493"/>
      <c r="J33" s="2018"/>
      <c r="K33" s="856">
        <f t="shared" si="0"/>
        <v>0</v>
      </c>
      <c r="L33" s="857" t="e">
        <f t="shared" si="1"/>
        <v>#DIV/0!</v>
      </c>
    </row>
    <row r="34" spans="1:12" ht="16.350000000000001" customHeight="1" x14ac:dyDescent="0.25">
      <c r="A34" s="237">
        <v>34</v>
      </c>
      <c r="B34" s="758"/>
      <c r="C34" s="843" t="str">
        <f>'Income Statement'!C51</f>
        <v>Accrual Adjustment for Unpaid Items</v>
      </c>
      <c r="D34" s="778">
        <f>'Income Statement'!G51</f>
        <v>0</v>
      </c>
      <c r="E34" s="2018"/>
      <c r="F34" s="727">
        <f t="shared" si="2"/>
        <v>0</v>
      </c>
      <c r="G34" s="2018"/>
      <c r="H34" s="727">
        <f t="shared" si="3"/>
        <v>0</v>
      </c>
      <c r="I34" s="58"/>
      <c r="J34" s="2018"/>
      <c r="K34" s="856">
        <f t="shared" si="0"/>
        <v>0</v>
      </c>
      <c r="L34" s="857" t="e">
        <f t="shared" si="1"/>
        <v>#DIV/0!</v>
      </c>
    </row>
    <row r="35" spans="1:12" ht="16.350000000000001" customHeight="1" x14ac:dyDescent="0.25">
      <c r="A35" s="237">
        <v>35</v>
      </c>
      <c r="B35" s="758"/>
      <c r="C35" s="844" t="str">
        <f>'Income Statement'!D52</f>
        <v>Total Operating Expenses</v>
      </c>
      <c r="D35" s="778">
        <f>'Income Statement'!G52</f>
        <v>0</v>
      </c>
      <c r="E35" s="850"/>
      <c r="F35" s="744">
        <f>SUM(F5:F34)</f>
        <v>0</v>
      </c>
      <c r="G35" s="850"/>
      <c r="H35" s="744">
        <f>SUM(H5:H34)</f>
        <v>0</v>
      </c>
      <c r="J35" s="862"/>
      <c r="K35" s="743">
        <f>SUM(K5:K34)</f>
        <v>0</v>
      </c>
      <c r="L35" s="744" t="e">
        <f>SUM(L5:L34)</f>
        <v>#DIV/0!</v>
      </c>
    </row>
    <row r="36" spans="1:12" ht="24" customHeight="1" x14ac:dyDescent="0.25">
      <c r="A36" s="237">
        <v>36</v>
      </c>
      <c r="B36" s="841" t="s">
        <v>750</v>
      </c>
      <c r="C36" s="845"/>
      <c r="D36" s="723"/>
      <c r="E36" s="849"/>
      <c r="F36" s="848"/>
      <c r="G36" s="849"/>
      <c r="H36" s="848"/>
      <c r="J36" s="863"/>
      <c r="K36" s="864"/>
      <c r="L36" s="865"/>
    </row>
    <row r="37" spans="1:12" ht="16.350000000000001" customHeight="1" x14ac:dyDescent="0.25">
      <c r="A37" s="237">
        <v>37</v>
      </c>
      <c r="B37" s="758"/>
      <c r="C37" s="843" t="str">
        <f>'Income Statement'!C55</f>
        <v xml:space="preserve">Operating Interest  </v>
      </c>
      <c r="D37" s="778">
        <f>'Income Statement'!G55</f>
        <v>0</v>
      </c>
      <c r="E37" s="2018"/>
      <c r="F37" s="727">
        <f t="shared" ref="F37:F44" si="4">IF((E37+G37)&gt;1,"Allocation exceeds 100%",D37*E37)</f>
        <v>0</v>
      </c>
      <c r="G37" s="2018"/>
      <c r="H37" s="727">
        <f t="shared" ref="H37:H44" si="5">IF((E37+G37)&gt;1,"Allocation exceeds 100%",D37*G37)</f>
        <v>0</v>
      </c>
      <c r="I37" s="404"/>
      <c r="J37" s="2018"/>
      <c r="K37" s="856">
        <f>D37*J37</f>
        <v>0</v>
      </c>
      <c r="L37" s="857" t="e">
        <f>K37/$L$3</f>
        <v>#DIV/0!</v>
      </c>
    </row>
    <row r="38" spans="1:12" ht="16.350000000000001" customHeight="1" x14ac:dyDescent="0.25">
      <c r="A38" s="237">
        <v>38</v>
      </c>
      <c r="B38" s="758"/>
      <c r="C38" s="843" t="str">
        <f>'Income Statement'!C56</f>
        <v xml:space="preserve">Term Interest  </v>
      </c>
      <c r="D38" s="778">
        <f>'Income Statement'!G56</f>
        <v>0</v>
      </c>
      <c r="E38" s="2018"/>
      <c r="F38" s="727">
        <f t="shared" si="4"/>
        <v>0</v>
      </c>
      <c r="G38" s="2018"/>
      <c r="H38" s="727">
        <f t="shared" si="5"/>
        <v>0</v>
      </c>
      <c r="I38" s="405"/>
      <c r="J38" s="2018"/>
      <c r="K38" s="856">
        <f>D38*J38</f>
        <v>0</v>
      </c>
      <c r="L38" s="857" t="e">
        <f>K38/$L$3</f>
        <v>#DIV/0!</v>
      </c>
    </row>
    <row r="39" spans="1:12" ht="16.350000000000001" customHeight="1" x14ac:dyDescent="0.25">
      <c r="A39" s="237">
        <v>39</v>
      </c>
      <c r="B39" s="758"/>
      <c r="C39" s="843" t="str">
        <f>'Income Statement'!C57</f>
        <v>Accrual Adjustments for Accrued Interest</v>
      </c>
      <c r="D39" s="778">
        <f>'Income Statement'!G57</f>
        <v>0</v>
      </c>
      <c r="E39" s="2018"/>
      <c r="F39" s="727">
        <f t="shared" si="4"/>
        <v>0</v>
      </c>
      <c r="G39" s="2018"/>
      <c r="H39" s="727">
        <f t="shared" si="5"/>
        <v>0</v>
      </c>
      <c r="J39" s="2018"/>
      <c r="K39" s="856">
        <f>D39*J39</f>
        <v>0</v>
      </c>
      <c r="L39" s="857" t="e">
        <f>K39/$L$3</f>
        <v>#DIV/0!</v>
      </c>
    </row>
    <row r="40" spans="1:12" ht="16.350000000000001" customHeight="1" x14ac:dyDescent="0.25">
      <c r="A40" s="237">
        <v>40</v>
      </c>
      <c r="B40" s="758"/>
      <c r="C40" s="843" t="str">
        <f>'Income Statement'!C61</f>
        <v>Other Non-Operating Farm Expense</v>
      </c>
      <c r="D40" s="778">
        <f>'Income Statement'!G61</f>
        <v>0</v>
      </c>
      <c r="E40" s="2018"/>
      <c r="F40" s="727">
        <f t="shared" si="4"/>
        <v>0</v>
      </c>
      <c r="G40" s="2018"/>
      <c r="H40" s="727">
        <f t="shared" si="5"/>
        <v>0</v>
      </c>
      <c r="J40" s="2018"/>
      <c r="K40" s="856">
        <f>D40*J40</f>
        <v>0</v>
      </c>
      <c r="L40" s="857" t="e">
        <f>K40/$L$3</f>
        <v>#DIV/0!</v>
      </c>
    </row>
    <row r="41" spans="1:12" ht="24.6" customHeight="1" x14ac:dyDescent="0.25">
      <c r="A41" s="237">
        <v>41</v>
      </c>
      <c r="B41" s="841" t="s">
        <v>1161</v>
      </c>
      <c r="C41" s="761"/>
      <c r="D41" s="837"/>
      <c r="E41" s="847"/>
      <c r="F41" s="848"/>
      <c r="G41" s="847"/>
      <c r="H41" s="848"/>
      <c r="J41" s="866"/>
      <c r="K41" s="864"/>
      <c r="L41" s="865"/>
    </row>
    <row r="42" spans="1:12" ht="16.350000000000001" customHeight="1" x14ac:dyDescent="0.25">
      <c r="A42" s="237">
        <v>42</v>
      </c>
      <c r="B42" s="758"/>
      <c r="C42" s="843" t="str">
        <f>'Income Statement'!C63</f>
        <v>Income Taxes</v>
      </c>
      <c r="D42" s="778">
        <f>'Income Statement'!G63</f>
        <v>0</v>
      </c>
      <c r="E42" s="2018"/>
      <c r="F42" s="727">
        <f t="shared" si="4"/>
        <v>0</v>
      </c>
      <c r="G42" s="2018"/>
      <c r="H42" s="727">
        <f t="shared" si="5"/>
        <v>0</v>
      </c>
      <c r="J42" s="2018"/>
      <c r="K42" s="856">
        <f>D42*J42</f>
        <v>0</v>
      </c>
      <c r="L42" s="857" t="e">
        <f>K42/$L$3</f>
        <v>#DIV/0!</v>
      </c>
    </row>
    <row r="43" spans="1:12" ht="16.350000000000001" customHeight="1" x14ac:dyDescent="0.25">
      <c r="A43" s="237">
        <v>43</v>
      </c>
      <c r="B43" s="758"/>
      <c r="C43" s="843" t="str">
        <f>'Income Statement'!C66</f>
        <v>Other Non-Farm Expenses</v>
      </c>
      <c r="D43" s="778">
        <f>'Income Statement'!G66</f>
        <v>0</v>
      </c>
      <c r="E43" s="2018"/>
      <c r="F43" s="727">
        <f t="shared" si="4"/>
        <v>0</v>
      </c>
      <c r="G43" s="2018"/>
      <c r="H43" s="727">
        <f t="shared" si="5"/>
        <v>0</v>
      </c>
      <c r="J43" s="2018"/>
      <c r="K43" s="856">
        <f>D43*J43</f>
        <v>0</v>
      </c>
      <c r="L43" s="857" t="e">
        <f>K43/$L$3</f>
        <v>#DIV/0!</v>
      </c>
    </row>
    <row r="44" spans="1:12" ht="16.350000000000001" customHeight="1" x14ac:dyDescent="0.25">
      <c r="A44" s="237">
        <v>44</v>
      </c>
      <c r="B44" s="758"/>
      <c r="C44" s="843" t="str">
        <f>'Income Statement'!C64</f>
        <v>Accrual Adjustments for Income Taxes</v>
      </c>
      <c r="D44" s="778">
        <f>'Income Statement'!G64</f>
        <v>0</v>
      </c>
      <c r="E44" s="2018"/>
      <c r="F44" s="727">
        <f t="shared" si="4"/>
        <v>0</v>
      </c>
      <c r="G44" s="2018"/>
      <c r="H44" s="727">
        <f t="shared" si="5"/>
        <v>0</v>
      </c>
      <c r="J44" s="2018"/>
      <c r="K44" s="856">
        <f>D44*J44</f>
        <v>0</v>
      </c>
      <c r="L44" s="857" t="e">
        <f>K44/$L$3</f>
        <v>#DIV/0!</v>
      </c>
    </row>
    <row r="45" spans="1:12" ht="16.350000000000001" customHeight="1" x14ac:dyDescent="0.25">
      <c r="A45" s="237">
        <v>45</v>
      </c>
      <c r="B45" s="758"/>
      <c r="C45" s="843"/>
      <c r="D45" s="778"/>
      <c r="E45" s="1376"/>
      <c r="F45" s="1374"/>
      <c r="G45" s="1376"/>
      <c r="H45" s="1374"/>
      <c r="J45" s="1376"/>
      <c r="K45" s="1372"/>
      <c r="L45" s="1377"/>
    </row>
    <row r="46" spans="1:12" ht="16.350000000000001" customHeight="1" x14ac:dyDescent="0.25">
      <c r="A46" s="237">
        <v>46</v>
      </c>
      <c r="B46" s="758"/>
      <c r="C46" s="844" t="s">
        <v>1145</v>
      </c>
      <c r="D46" s="778">
        <f>SUM(D35:D45)</f>
        <v>0</v>
      </c>
      <c r="E46" s="1376"/>
      <c r="F46" s="1374">
        <f>SUM(F35:F45)</f>
        <v>0</v>
      </c>
      <c r="G46" s="1375"/>
      <c r="H46" s="1374">
        <f>SUM(H35:H45)</f>
        <v>0</v>
      </c>
      <c r="J46" s="1376"/>
      <c r="K46" s="1372">
        <f>SUM(K35:K45)</f>
        <v>0</v>
      </c>
      <c r="L46" s="1373" t="e">
        <f>SUM(L35:L45)</f>
        <v>#DIV/0!</v>
      </c>
    </row>
    <row r="47" spans="1:12" ht="24.6" customHeight="1" x14ac:dyDescent="0.25">
      <c r="A47" s="237">
        <v>47</v>
      </c>
      <c r="B47" s="841" t="s">
        <v>751</v>
      </c>
      <c r="C47" s="842"/>
      <c r="D47" s="723"/>
      <c r="E47" s="852"/>
      <c r="F47" s="851"/>
      <c r="G47" s="852"/>
      <c r="H47" s="851"/>
      <c r="J47" s="867"/>
      <c r="K47" s="864"/>
      <c r="L47" s="865"/>
    </row>
    <row r="48" spans="1:12" ht="16.350000000000001" customHeight="1" x14ac:dyDescent="0.25">
      <c r="A48" s="237">
        <v>48</v>
      </c>
      <c r="B48" s="758"/>
      <c r="C48" s="759" t="s">
        <v>521</v>
      </c>
      <c r="D48" s="778">
        <f>'Income Statement'!G71</f>
        <v>0</v>
      </c>
      <c r="E48" s="853"/>
      <c r="F48" s="767">
        <f>F37+F38+F39</f>
        <v>0</v>
      </c>
      <c r="G48" s="853"/>
      <c r="H48" s="767">
        <f>H37+H38+H39</f>
        <v>0</v>
      </c>
      <c r="J48" s="868"/>
      <c r="K48" s="766">
        <f>K37+K38+K39</f>
        <v>0</v>
      </c>
      <c r="L48" s="857" t="e">
        <f t="shared" ref="L48:L54" si="6">K48/$L$3</f>
        <v>#DIV/0!</v>
      </c>
    </row>
    <row r="49" spans="1:12" x14ac:dyDescent="0.25">
      <c r="A49" s="237">
        <v>49</v>
      </c>
      <c r="B49" s="758"/>
      <c r="C49" s="759" t="s">
        <v>752</v>
      </c>
      <c r="D49" s="778">
        <f>'Income Statement'!G52-'Income Statement'!G49-'Income Statement'!G22</f>
        <v>0</v>
      </c>
      <c r="E49" s="854"/>
      <c r="F49" s="839">
        <f>F35-F32-F5</f>
        <v>0</v>
      </c>
      <c r="G49" s="854"/>
      <c r="H49" s="839">
        <f>H35-H32-H5</f>
        <v>0</v>
      </c>
      <c r="J49" s="854"/>
      <c r="K49" s="859">
        <f>K35-K32-K5</f>
        <v>0</v>
      </c>
      <c r="L49" s="857" t="e">
        <f t="shared" si="6"/>
        <v>#DIV/0!</v>
      </c>
    </row>
    <row r="50" spans="1:12" ht="17.25" x14ac:dyDescent="0.25">
      <c r="A50" s="237">
        <v>50</v>
      </c>
      <c r="B50" s="758"/>
      <c r="C50" s="759" t="s">
        <v>753</v>
      </c>
      <c r="D50" s="778">
        <f>'Income Statement'!G71+'Income Statement'!G49+'Income Statement'!G22+'Input Sheet'!C71</f>
        <v>0</v>
      </c>
      <c r="E50" s="854"/>
      <c r="F50" s="839">
        <f>F5+F32+F48+(E5*'Input Sheet'!C71)</f>
        <v>0</v>
      </c>
      <c r="G50" s="854"/>
      <c r="H50" s="839">
        <f>H5+H32+H48+(G5*'Input Sheet'!C71)</f>
        <v>0</v>
      </c>
      <c r="J50" s="854"/>
      <c r="K50" s="859">
        <f>K5+K32+K48+(J5*'Input Sheet'!C71)</f>
        <v>0</v>
      </c>
      <c r="L50" s="857" t="e">
        <f t="shared" si="6"/>
        <v>#DIV/0!</v>
      </c>
    </row>
    <row r="51" spans="1:12" ht="17.25" x14ac:dyDescent="0.25">
      <c r="A51" s="237">
        <v>51</v>
      </c>
      <c r="B51" s="758"/>
      <c r="C51" s="759" t="s">
        <v>754</v>
      </c>
      <c r="D51" s="778">
        <f>'Income Statement'!G52-'Income Statement'!G49+'Input Sheet'!C71</f>
        <v>0</v>
      </c>
      <c r="E51" s="854"/>
      <c r="F51" s="839">
        <f>F35-F32+(E5*'Input Sheet'!C71)</f>
        <v>0</v>
      </c>
      <c r="G51" s="854"/>
      <c r="H51" s="839">
        <f>H35-H32+(G5*'Input Sheet'!C71)</f>
        <v>0</v>
      </c>
      <c r="J51" s="854"/>
      <c r="K51" s="859">
        <f>K35-K32+(J5*'Input Sheet'!C71)</f>
        <v>0</v>
      </c>
      <c r="L51" s="857" t="e">
        <f t="shared" si="6"/>
        <v>#DIV/0!</v>
      </c>
    </row>
    <row r="52" spans="1:12" ht="17.25" x14ac:dyDescent="0.25">
      <c r="A52" s="237">
        <v>52</v>
      </c>
      <c r="B52" s="758"/>
      <c r="C52" s="759" t="s">
        <v>755</v>
      </c>
      <c r="D52" s="778">
        <f>'Income Statement'!G52+'Input Sheet'!C71</f>
        <v>0</v>
      </c>
      <c r="E52" s="854"/>
      <c r="F52" s="839">
        <f>F35+(E5*'Input Sheet'!C71)</f>
        <v>0</v>
      </c>
      <c r="G52" s="854"/>
      <c r="H52" s="839">
        <f>H35+(G5*'Input Sheet'!C71)</f>
        <v>0</v>
      </c>
      <c r="J52" s="854"/>
      <c r="K52" s="859">
        <f>K35+(J5*'Input Sheet'!C71)</f>
        <v>0</v>
      </c>
      <c r="L52" s="857" t="e">
        <f t="shared" si="6"/>
        <v>#DIV/0!</v>
      </c>
    </row>
    <row r="53" spans="1:12" ht="17.25" x14ac:dyDescent="0.25">
      <c r="A53" s="237">
        <v>53</v>
      </c>
      <c r="B53" s="758"/>
      <c r="C53" s="759" t="s">
        <v>756</v>
      </c>
      <c r="D53" s="778">
        <f>'Income Statement'!G52+'Income Statement'!G71+'Input Sheet'!C71</f>
        <v>0</v>
      </c>
      <c r="E53" s="854"/>
      <c r="F53" s="839">
        <f>F35+F48+(E5*'Input Sheet'!C71)</f>
        <v>0</v>
      </c>
      <c r="G53" s="854"/>
      <c r="H53" s="839">
        <f>H35+H48+(G5*'Input Sheet'!C71)</f>
        <v>0</v>
      </c>
      <c r="J53" s="854"/>
      <c r="K53" s="859">
        <f>K35+K48+(J5*'Input Sheet'!C71)</f>
        <v>0</v>
      </c>
      <c r="L53" s="857" t="e">
        <f t="shared" si="6"/>
        <v>#DIV/0!</v>
      </c>
    </row>
    <row r="54" spans="1:12" ht="15.75" thickBot="1" x14ac:dyDescent="0.3">
      <c r="A54" s="237">
        <v>54</v>
      </c>
      <c r="B54" s="765"/>
      <c r="C54" s="846" t="s">
        <v>757</v>
      </c>
      <c r="D54" s="838">
        <f>'Income Statement'!G52+'Income Statement'!G71+'Income Statement'!G61+'Income Statement'!G63+'Income Statement'!G66+'Income Statement'!G64+'Input Sheet'!C71</f>
        <v>0</v>
      </c>
      <c r="E54" s="855"/>
      <c r="F54" s="840">
        <f>F35+F48+F40+F42+F43+F44+(E5*'Input Sheet'!C71)</f>
        <v>0</v>
      </c>
      <c r="G54" s="855"/>
      <c r="H54" s="840">
        <f>H35+H48+H40+H42+H43+H44+(G5*'Input Sheet'!C71)</f>
        <v>0</v>
      </c>
      <c r="J54" s="855"/>
      <c r="K54" s="860">
        <f>K35+K48+K40+K42+K43+K44+(J5*'Input Sheet'!C71)</f>
        <v>0</v>
      </c>
      <c r="L54" s="861" t="e">
        <f t="shared" si="6"/>
        <v>#DIV/0!</v>
      </c>
    </row>
    <row r="56" spans="1:12" x14ac:dyDescent="0.25">
      <c r="C56" s="391" t="s">
        <v>758</v>
      </c>
    </row>
  </sheetData>
  <sheetProtection sheet="1" objects="1" scenarios="1" selectLockedCells="1"/>
  <mergeCells count="6">
    <mergeCell ref="B4:C4"/>
    <mergeCell ref="B2:D3"/>
    <mergeCell ref="J3:K3"/>
    <mergeCell ref="J1:L1"/>
    <mergeCell ref="B1:H1"/>
    <mergeCell ref="K2:L2"/>
  </mergeCells>
  <pageMargins left="0.7" right="0.7" top="0.75" bottom="0.75" header="0.3" footer="0.3"/>
  <pageSetup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235A0-94AB-49AE-AB60-38969CC5A639}">
  <sheetPr>
    <tabColor theme="6" tint="0.39997558519241921"/>
  </sheetPr>
  <dimension ref="A1:N36"/>
  <sheetViews>
    <sheetView showGridLines="0" zoomScale="80" zoomScaleNormal="80" workbookViewId="0">
      <pane xSplit="2" ySplit="4" topLeftCell="C14" activePane="bottomRight" state="frozen"/>
      <selection pane="topRight" activeCell="B1" sqref="B1"/>
      <selection pane="bottomLeft" activeCell="A5" sqref="A5"/>
      <selection pane="bottomRight" activeCell="B3" sqref="B3:B4"/>
    </sheetView>
  </sheetViews>
  <sheetFormatPr defaultColWidth="8.85546875" defaultRowHeight="15" x14ac:dyDescent="0.25"/>
  <cols>
    <col min="1" max="1" width="3" style="391" customWidth="1"/>
    <col min="2" max="2" width="52.42578125" style="204" customWidth="1"/>
    <col min="3" max="3" width="13.7109375" style="204" customWidth="1"/>
    <col min="4" max="5" width="11.28515625" style="204" customWidth="1"/>
    <col min="6" max="6" width="12" style="204" customWidth="1"/>
    <col min="7" max="7" width="10.140625" style="204" customWidth="1"/>
    <col min="8" max="8" width="11.7109375" style="204" customWidth="1"/>
    <col min="9" max="9" width="14.140625" style="391" customWidth="1"/>
    <col min="10" max="11" width="13.28515625" style="204" customWidth="1"/>
    <col min="12" max="12" width="15.5703125" style="204" customWidth="1"/>
    <col min="13" max="14" width="12.28515625" style="204" customWidth="1"/>
    <col min="15" max="16384" width="8.85546875" style="204"/>
  </cols>
  <sheetData>
    <row r="1" spans="1:14" ht="37.15" customHeight="1" x14ac:dyDescent="0.25">
      <c r="A1" s="1269">
        <v>1</v>
      </c>
      <c r="B1" s="1771" t="s">
        <v>646</v>
      </c>
      <c r="C1" s="1772"/>
      <c r="D1" s="1772"/>
      <c r="E1" s="1772"/>
      <c r="F1" s="1772"/>
      <c r="G1" s="1772"/>
      <c r="H1" s="969"/>
      <c r="I1" s="1765" t="s">
        <v>759</v>
      </c>
      <c r="J1" s="1766"/>
      <c r="K1" s="1767"/>
      <c r="L1" s="1759" t="s">
        <v>762</v>
      </c>
      <c r="M1" s="1760"/>
      <c r="N1" s="1761"/>
    </row>
    <row r="2" spans="1:14" s="391" customFormat="1" ht="16.5" customHeight="1" x14ac:dyDescent="0.25">
      <c r="A2" s="1269">
        <v>2</v>
      </c>
      <c r="B2" s="1773" t="s">
        <v>645</v>
      </c>
      <c r="C2" s="1774"/>
      <c r="D2" s="1775" t="str">
        <f>IF('Input Sheet'!C6="Milk","Milk",IF('Input Sheet'!C6="Corn","Corn",IF('Input Sheet'!C6="Soybeans","Soybeans",IF('Input Sheet'!C6="Cattle","Cattle","Other"))))</f>
        <v>Other</v>
      </c>
      <c r="E2" s="1775"/>
      <c r="F2" s="1775"/>
      <c r="G2" s="1775"/>
      <c r="H2" s="1776"/>
      <c r="I2" s="1768"/>
      <c r="J2" s="1769"/>
      <c r="K2" s="1770"/>
      <c r="L2" s="1762"/>
      <c r="M2" s="1763"/>
      <c r="N2" s="1764"/>
    </row>
    <row r="3" spans="1:14" ht="36" customHeight="1" x14ac:dyDescent="0.25">
      <c r="A3" s="1269">
        <v>3</v>
      </c>
      <c r="B3" s="1437">
        <f>'Input Sheet'!C4</f>
        <v>0</v>
      </c>
      <c r="C3" s="1007" t="s">
        <v>647</v>
      </c>
      <c r="D3" s="924" t="str">
        <f>IF('Input Sheet'!$C$6="Milk","$ per Cow",IF('Input Sheet'!$C$6="Corn","$ per Acre",IF('Input Sheet'!$C$6="Soybeans","$ per Acre",IF('Input Sheet'!$C$6="Cattle","$ per Head","Other"))))</f>
        <v>Other</v>
      </c>
      <c r="E3" s="924" t="str">
        <f>IF('Input Sheet'!$C$6="Milk","$ per cwt.",IF('Input Sheet'!$C$6="Corn","$ per bu.",IF('Input Sheet'!$C$6="Soybeans","$ per bu.",IF('Input Sheet'!$C$6="Cattle","$ per lb.","Other"))))</f>
        <v>Other</v>
      </c>
      <c r="F3" s="924" t="s">
        <v>648</v>
      </c>
      <c r="G3" s="912" t="s">
        <v>649</v>
      </c>
      <c r="H3" s="925" t="s">
        <v>1021</v>
      </c>
      <c r="I3" s="1127" t="s">
        <v>1027</v>
      </c>
      <c r="J3" s="937" t="str">
        <f>IF('Input Sheet'!$C$6="Milk","$ per Cow",IF('Input Sheet'!$C$6="Corn","$ per Acre",IF('Input Sheet'!$C$6="Soybeans","$ per Acre",IF('Input Sheet'!$C$6="Cattle","$ per Head","Other"))))</f>
        <v>Other</v>
      </c>
      <c r="K3" s="938" t="str">
        <f>IF('Input Sheet'!$C$6="Milk","$ per cwt.",IF('Input Sheet'!$C$6="Corn","$ per bu.",IF('Input Sheet'!$C$6="Soybeans","$ per bu.",IF('Input Sheet'!$C$6="Cattle","$ per lb.","Other"))))</f>
        <v>Other</v>
      </c>
      <c r="L3" s="1128" t="s">
        <v>1028</v>
      </c>
      <c r="M3" s="953" t="str">
        <f>IF('Input Sheet'!$C$7="Milk","$ per Cow",IF('Input Sheet'!$C$7="Corn","$ per Acre",IF('Input Sheet'!$C$7="Soybeans","$ per Acre",IF('Input Sheet'!$C$7="Cattle","$ per Head","Other"))))</f>
        <v>Other</v>
      </c>
      <c r="N3" s="954" t="str">
        <f>IF('Input Sheet'!$C$7="Milk","$ per cwt.",IF('Input Sheet'!$C$7="Corn","$ per bu.",IF('Input Sheet'!$C$7="Soybeans","$ per bu.",IF('Input Sheet'!$C$7="Cattle","$ per lb.","Other"))))</f>
        <v>Other</v>
      </c>
    </row>
    <row r="4" spans="1:14" ht="18" customHeight="1" x14ac:dyDescent="0.25">
      <c r="A4" s="1269">
        <v>4</v>
      </c>
      <c r="B4" s="1437"/>
      <c r="C4" s="1125" t="s">
        <v>1023</v>
      </c>
      <c r="D4" s="926" t="str">
        <f>IF('Input Sheet'!$C$6="Milk",'Input Sheet'!C$35,IF('Input Sheet'!$C$6="Corn",'Input Sheet'!C$12,IF('Input Sheet'!$C$6="Soybeans",'Input Sheet'!C$18,IF('Input Sheet'!$C$6="Cattle",'Input Sheet'!C$42,"Other"))))</f>
        <v>Other</v>
      </c>
      <c r="E4" s="926" t="str">
        <f>IF('Input Sheet'!$C$6="Milk",'Input Sheet'!C$38,IF('Input Sheet'!$C$6="Corn",'Input Sheet'!C$12*'Input Sheet'!C$13,IF('Input Sheet'!$C$6="Soybeans",'Input Sheet'!C$18*'Input Sheet'!C$19,IF('Input Sheet'!$C$6="Cattle",'Input Sheet'!C$42*'Input Sheet'!C$43,"Other"))))</f>
        <v>Other</v>
      </c>
      <c r="F4" s="926" t="str">
        <f>IF('Input Sheet'!$C$6="Milk",('Income Statement'!G19-'Income Statement'!G10)/'Input Sheet'!C$37,IF('Input Sheet'!$C$6="Corn",('Income Statement'!G19-'Income Statement'!G10)/'Input Sheet'!C$14,IF('Input Sheet'!$C$6="Soybeans",('Income Statement'!G19-'Income Statement'!G10)/'Input Sheet'!C$20,IF('Input Sheet'!$C$6="Cattle",('Income Statement'!G19-'Income Statement'!G10)/'Input Sheet'!C$44,"Other"))))</f>
        <v>Other</v>
      </c>
      <c r="G4" s="926" t="str">
        <f>IF('Input Sheet'!$C$6="Milk",'Income Statement'!G$19-'Input Sheet'!C$40-'Income Statement'!G$10,IF('Input Sheet'!$C$6="Corn",'Income Statement'!G$19-'Input Sheet'!C$16-'Income Statement'!G$10,IF('Input Sheet'!$C$6="Soybeans",'Income Statement'!G$19-'Input Sheet'!C$22-'Income Statement'!G$10,IF('Input Sheet'!$C$6="Cattle",'Income Statement'!G$19-'Input Sheet'!C$46-'Income Statement'!G$10,"Other"))))</f>
        <v>Other</v>
      </c>
      <c r="H4" s="927">
        <f>'Income Statement'!G19</f>
        <v>0</v>
      </c>
      <c r="I4" s="939" t="str">
        <f>IF('Input Sheet'!C6="Milk","Milk",IF('Input Sheet'!C6="Corn","Corn",IF('Input Sheet'!C6="Soybeans","Soybeans",IF('Input Sheet'!C6="Cattle","Cattle","Other"))))</f>
        <v>Other</v>
      </c>
      <c r="J4" s="940" t="str">
        <f>D4</f>
        <v>Other</v>
      </c>
      <c r="K4" s="941" t="str">
        <f>E4</f>
        <v>Other</v>
      </c>
      <c r="L4" s="955" t="str">
        <f>IF('Input Sheet'!C7="Milk","Milk",IF('Input Sheet'!C7="Corn","Corn",IF('Input Sheet'!C7="Soybeans","Soybeans",IF('Input Sheet'!C7="Cattle","Cattle","Other"))))</f>
        <v>Other</v>
      </c>
      <c r="M4" s="956" t="str">
        <f>IF('Input Sheet'!$C$7="Milk",'Input Sheet'!C$35,IF('Input Sheet'!$C$7="Corn",'Input Sheet'!C$12,IF('Input Sheet'!$C$7="Soybeans",'Input Sheet'!C$18,IF('Input Sheet'!$C$7="Cattle",'Input Sheet'!C$42,"Other"))))</f>
        <v>Other</v>
      </c>
      <c r="N4" s="957" t="str">
        <f>IF('Input Sheet'!$C$7="Milk",'Input Sheet'!C$38,IF('Input Sheet'!$C$7="Corn",'Input Sheet'!C$12*'Input Sheet'!C$13,IF('Input Sheet'!$C$7="Soybeans",'Input Sheet'!C$18*'Input Sheet'!C$19,IF('Input Sheet'!$C$7="Cattle",'Input Sheet'!C$42*'Input Sheet'!C$43,"Other"))))</f>
        <v>Other</v>
      </c>
    </row>
    <row r="5" spans="1:14" s="363" customFormat="1" ht="25.5" customHeight="1" x14ac:dyDescent="0.3">
      <c r="A5" s="1269">
        <v>5</v>
      </c>
      <c r="B5" s="745" t="s">
        <v>557</v>
      </c>
      <c r="C5" s="1126" t="s">
        <v>1024</v>
      </c>
      <c r="D5" s="926"/>
      <c r="E5" s="926"/>
      <c r="F5" s="928"/>
      <c r="G5" s="929" t="e">
        <f>'Input Sheet'!C40/'Income Statement'!G19</f>
        <v>#DIV/0!</v>
      </c>
      <c r="H5" s="858"/>
      <c r="I5" s="942"/>
      <c r="J5" s="943"/>
      <c r="K5" s="944"/>
      <c r="L5" s="958"/>
      <c r="M5" s="959"/>
      <c r="N5" s="960"/>
    </row>
    <row r="6" spans="1:14" x14ac:dyDescent="0.25">
      <c r="A6" s="1269">
        <v>6</v>
      </c>
      <c r="B6" s="724" t="s">
        <v>561</v>
      </c>
      <c r="C6" s="930">
        <f>'Income Statement'!G52-'Income Statement'!G49-'Income Statement'!G22</f>
        <v>0</v>
      </c>
      <c r="D6" s="682" t="e">
        <f t="shared" ref="D6:H22" si="0">$C6/D$4</f>
        <v>#VALUE!</v>
      </c>
      <c r="E6" s="931" t="e">
        <f t="shared" si="0"/>
        <v>#VALUE!</v>
      </c>
      <c r="F6" s="931" t="e">
        <f t="shared" si="0"/>
        <v>#VALUE!</v>
      </c>
      <c r="G6" s="931" t="s">
        <v>492</v>
      </c>
      <c r="H6" s="932" t="e">
        <f t="shared" si="0"/>
        <v>#DIV/0!</v>
      </c>
      <c r="I6" s="945">
        <f>'Estimating Costs of Production'!F49</f>
        <v>0</v>
      </c>
      <c r="J6" s="946" t="e">
        <f>$I6/J$4</f>
        <v>#VALUE!</v>
      </c>
      <c r="K6" s="947" t="e">
        <f>$I6/K$4</f>
        <v>#VALUE!</v>
      </c>
      <c r="L6" s="961">
        <f>'Estimating Costs of Production'!H49</f>
        <v>0</v>
      </c>
      <c r="M6" s="962" t="e">
        <f>$L6/M$4</f>
        <v>#VALUE!</v>
      </c>
      <c r="N6" s="963" t="e">
        <f>$L6/N$4</f>
        <v>#VALUE!</v>
      </c>
    </row>
    <row r="7" spans="1:14" ht="17.25" x14ac:dyDescent="0.25">
      <c r="A7" s="1269">
        <v>7</v>
      </c>
      <c r="B7" s="724" t="s">
        <v>1016</v>
      </c>
      <c r="C7" s="930">
        <f>'Income Statement'!G49+'Income Statement'!G22+'Income Statement'!G71+'Input Sheet'!C71</f>
        <v>0</v>
      </c>
      <c r="D7" s="682" t="e">
        <f t="shared" si="0"/>
        <v>#VALUE!</v>
      </c>
      <c r="E7" s="931" t="e">
        <f t="shared" si="0"/>
        <v>#VALUE!</v>
      </c>
      <c r="F7" s="931" t="e">
        <f t="shared" si="0"/>
        <v>#VALUE!</v>
      </c>
      <c r="G7" s="931" t="s">
        <v>492</v>
      </c>
      <c r="H7" s="932" t="e">
        <f t="shared" si="0"/>
        <v>#DIV/0!</v>
      </c>
      <c r="I7" s="945">
        <f>'Estimating Costs of Production'!F50</f>
        <v>0</v>
      </c>
      <c r="J7" s="946" t="e">
        <f t="shared" ref="J7:K14" si="1">$I7/J$4</f>
        <v>#VALUE!</v>
      </c>
      <c r="K7" s="947" t="e">
        <f t="shared" si="1"/>
        <v>#VALUE!</v>
      </c>
      <c r="L7" s="961">
        <f>'Estimating Costs of Production'!H50</f>
        <v>0</v>
      </c>
      <c r="M7" s="962" t="e">
        <f t="shared" ref="M7:N22" si="2">$L7/M$4</f>
        <v>#VALUE!</v>
      </c>
      <c r="N7" s="963" t="e">
        <f t="shared" si="2"/>
        <v>#VALUE!</v>
      </c>
    </row>
    <row r="8" spans="1:14" ht="17.25" x14ac:dyDescent="0.25">
      <c r="A8" s="1269">
        <v>8</v>
      </c>
      <c r="B8" s="724" t="s">
        <v>1017</v>
      </c>
      <c r="C8" s="930">
        <f>'Income Statement'!G72+'Input Sheet'!C71</f>
        <v>0</v>
      </c>
      <c r="D8" s="682" t="e">
        <f t="shared" si="0"/>
        <v>#VALUE!</v>
      </c>
      <c r="E8" s="931" t="e">
        <f t="shared" si="0"/>
        <v>#VALUE!</v>
      </c>
      <c r="F8" s="931" t="e">
        <f t="shared" si="0"/>
        <v>#VALUE!</v>
      </c>
      <c r="G8" s="931" t="e">
        <f t="shared" ref="G8:G9" si="3">($C8-G$4)/E$4</f>
        <v>#VALUE!</v>
      </c>
      <c r="H8" s="932" t="e">
        <f t="shared" si="0"/>
        <v>#DIV/0!</v>
      </c>
      <c r="I8" s="945">
        <f>'Estimating Costs of Production'!F51</f>
        <v>0</v>
      </c>
      <c r="J8" s="946" t="e">
        <f t="shared" si="1"/>
        <v>#VALUE!</v>
      </c>
      <c r="K8" s="947" t="e">
        <f t="shared" si="1"/>
        <v>#VALUE!</v>
      </c>
      <c r="L8" s="961">
        <f>'Estimating Costs of Production'!H51</f>
        <v>0</v>
      </c>
      <c r="M8" s="962" t="e">
        <f t="shared" si="2"/>
        <v>#VALUE!</v>
      </c>
      <c r="N8" s="963" t="e">
        <f t="shared" si="2"/>
        <v>#VALUE!</v>
      </c>
    </row>
    <row r="9" spans="1:14" ht="17.25" x14ac:dyDescent="0.25">
      <c r="A9" s="1269">
        <v>9</v>
      </c>
      <c r="B9" s="724" t="s">
        <v>1018</v>
      </c>
      <c r="C9" s="930">
        <f>'Income Statement'!G52+'Input Sheet'!C71</f>
        <v>0</v>
      </c>
      <c r="D9" s="682" t="e">
        <f t="shared" si="0"/>
        <v>#VALUE!</v>
      </c>
      <c r="E9" s="931" t="e">
        <f t="shared" si="0"/>
        <v>#VALUE!</v>
      </c>
      <c r="F9" s="931" t="e">
        <f t="shared" si="0"/>
        <v>#VALUE!</v>
      </c>
      <c r="G9" s="931" t="e">
        <f t="shared" si="3"/>
        <v>#VALUE!</v>
      </c>
      <c r="H9" s="932" t="e">
        <f t="shared" si="0"/>
        <v>#DIV/0!</v>
      </c>
      <c r="I9" s="945">
        <f>'Estimating Costs of Production'!F52</f>
        <v>0</v>
      </c>
      <c r="J9" s="946" t="e">
        <f t="shared" si="1"/>
        <v>#VALUE!</v>
      </c>
      <c r="K9" s="947" t="e">
        <f t="shared" si="1"/>
        <v>#VALUE!</v>
      </c>
      <c r="L9" s="961">
        <f>'Estimating Costs of Production'!H52</f>
        <v>0</v>
      </c>
      <c r="M9" s="962" t="e">
        <f t="shared" si="2"/>
        <v>#VALUE!</v>
      </c>
      <c r="N9" s="963" t="e">
        <f t="shared" si="2"/>
        <v>#VALUE!</v>
      </c>
    </row>
    <row r="10" spans="1:14" ht="17.25" x14ac:dyDescent="0.25">
      <c r="A10" s="1269">
        <v>10</v>
      </c>
      <c r="B10" s="724" t="s">
        <v>1019</v>
      </c>
      <c r="C10" s="930">
        <f>'Income Statement'!G52+'Income Statement'!G71+'Input Sheet'!C71</f>
        <v>0</v>
      </c>
      <c r="D10" s="682" t="e">
        <f t="shared" si="0"/>
        <v>#VALUE!</v>
      </c>
      <c r="E10" s="931" t="e">
        <f t="shared" si="0"/>
        <v>#VALUE!</v>
      </c>
      <c r="F10" s="931" t="e">
        <f t="shared" si="0"/>
        <v>#VALUE!</v>
      </c>
      <c r="G10" s="931" t="e">
        <f>($C10-G$4)/E$4</f>
        <v>#VALUE!</v>
      </c>
      <c r="H10" s="932" t="e">
        <f t="shared" si="0"/>
        <v>#DIV/0!</v>
      </c>
      <c r="I10" s="945">
        <f>'Estimating Costs of Production'!F53</f>
        <v>0</v>
      </c>
      <c r="J10" s="946" t="e">
        <f t="shared" si="1"/>
        <v>#VALUE!</v>
      </c>
      <c r="K10" s="947" t="e">
        <f t="shared" si="1"/>
        <v>#VALUE!</v>
      </c>
      <c r="L10" s="961">
        <f>'Estimating Costs of Production'!H53</f>
        <v>0</v>
      </c>
      <c r="M10" s="962" t="e">
        <f t="shared" si="2"/>
        <v>#VALUE!</v>
      </c>
      <c r="N10" s="963" t="e">
        <f t="shared" si="2"/>
        <v>#VALUE!</v>
      </c>
    </row>
    <row r="11" spans="1:14" x14ac:dyDescent="0.25">
      <c r="A11" s="1269">
        <v>11</v>
      </c>
      <c r="B11" s="724" t="s">
        <v>1020</v>
      </c>
      <c r="C11" s="930">
        <f>'Income Statement'!G52+'Income Statement'!G71+'Input Sheet'!C71+'Income Statement'!G61+'Income Statement'!G63+'Income Statement'!G66+'Income Statement'!G64</f>
        <v>0</v>
      </c>
      <c r="D11" s="682" t="e">
        <f t="shared" si="0"/>
        <v>#VALUE!</v>
      </c>
      <c r="E11" s="931" t="e">
        <f t="shared" si="0"/>
        <v>#VALUE!</v>
      </c>
      <c r="F11" s="931" t="e">
        <f t="shared" si="0"/>
        <v>#VALUE!</v>
      </c>
      <c r="G11" s="931" t="e">
        <f>($C11-G$4)/E$4</f>
        <v>#VALUE!</v>
      </c>
      <c r="H11" s="932" t="e">
        <f t="shared" si="0"/>
        <v>#DIV/0!</v>
      </c>
      <c r="I11" s="945">
        <f>'Estimating Costs of Production'!F54</f>
        <v>0</v>
      </c>
      <c r="J11" s="946" t="e">
        <f t="shared" si="1"/>
        <v>#VALUE!</v>
      </c>
      <c r="K11" s="947" t="e">
        <f t="shared" si="1"/>
        <v>#VALUE!</v>
      </c>
      <c r="L11" s="961">
        <f>'Estimating Costs of Production'!H54</f>
        <v>0</v>
      </c>
      <c r="M11" s="962" t="e">
        <f t="shared" si="2"/>
        <v>#VALUE!</v>
      </c>
      <c r="N11" s="963" t="e">
        <f t="shared" si="2"/>
        <v>#VALUE!</v>
      </c>
    </row>
    <row r="12" spans="1:14" s="363" customFormat="1" ht="25.15" customHeight="1" x14ac:dyDescent="0.25">
      <c r="A12" s="1269">
        <v>12</v>
      </c>
      <c r="B12" s="745" t="s">
        <v>558</v>
      </c>
      <c r="C12" s="746" t="s">
        <v>1025</v>
      </c>
      <c r="D12" s="682" t="str">
        <f>D4</f>
        <v>Other</v>
      </c>
      <c r="E12" s="682" t="str">
        <f>E4</f>
        <v>Other</v>
      </c>
      <c r="F12" s="926" t="str">
        <f>IF('Input Sheet'!$C$6="Milk",('Income Statement'!F19-'Income Statement'!F10)/'Input Sheet'!C$37,IF('Input Sheet'!$C$6="Corn",('Income Statement'!F19-'Income Statement'!F10)/'Input Sheet'!C$14,IF('Input Sheet'!$C$6="Soybeans",('Income Statement'!F19-'Income Statement'!F10)/'Input Sheet'!C$20,IF('Input Sheet'!$C$6="Cattle",('Income Statement'!F19-'Income Statement'!F10)/'Input Sheet'!C$44,"Other"))))</f>
        <v>Other</v>
      </c>
      <c r="G12" s="926" t="str">
        <f>IF('Input Sheet'!$C$6="Milk",'Income Statement'!F$19-'Input Sheet'!C$40-'Income Statement'!F$10,IF('Input Sheet'!$C$6="Corn",'Income Statement'!F$19-'Input Sheet'!C$16-'Income Statement'!F$10,IF('Input Sheet'!$C$6="Soybeans",'Income Statement'!F$19-'Input Sheet'!C$22-'Income Statement'!F$10,IF('Input Sheet'!$C$6="Cattle",'Income Statement'!F$19-'Input Sheet'!C$46-'Income Statement'!F$10,"Other"))))</f>
        <v>Other</v>
      </c>
      <c r="H12" s="927">
        <f>'Income Statement'!F19</f>
        <v>0</v>
      </c>
      <c r="I12" s="948"/>
      <c r="J12" s="940" t="str">
        <f>J4</f>
        <v>Other</v>
      </c>
      <c r="K12" s="941" t="str">
        <f>K4</f>
        <v>Other</v>
      </c>
      <c r="L12" s="958"/>
      <c r="M12" s="962" t="str">
        <f>M4</f>
        <v>Other</v>
      </c>
      <c r="N12" s="964" t="str">
        <f>N4</f>
        <v>Other</v>
      </c>
    </row>
    <row r="13" spans="1:14" x14ac:dyDescent="0.25">
      <c r="A13" s="1269">
        <v>13</v>
      </c>
      <c r="B13" s="724" t="s">
        <v>839</v>
      </c>
      <c r="C13" s="768">
        <f>'Income Statement'!F72</f>
        <v>0</v>
      </c>
      <c r="D13" s="682" t="e">
        <f t="shared" si="0"/>
        <v>#VALUE!</v>
      </c>
      <c r="E13" s="931" t="e">
        <f t="shared" si="0"/>
        <v>#VALUE!</v>
      </c>
      <c r="F13" s="931" t="e">
        <f>$C13/F$12</f>
        <v>#VALUE!</v>
      </c>
      <c r="G13" s="931" t="e">
        <f>($C13-G$12)/E$4</f>
        <v>#VALUE!</v>
      </c>
      <c r="H13" s="932" t="e">
        <f>$C13/H$12</f>
        <v>#DIV/0!</v>
      </c>
      <c r="I13" s="949">
        <f>'Estimating Costs of Production'!F35-'Estimating Costs of Production'!F32-'Estimating Costs of Production'!F33-'Estimating Costs of Production'!F34</f>
        <v>0</v>
      </c>
      <c r="J13" s="946" t="e">
        <f t="shared" si="1"/>
        <v>#VALUE!</v>
      </c>
      <c r="K13" s="947" t="e">
        <f t="shared" si="1"/>
        <v>#VALUE!</v>
      </c>
      <c r="L13" s="965">
        <f>'Estimating Costs of Production'!H35-'Estimating Costs of Production'!H32-'Estimating Costs of Production'!H33-'Estimating Costs of Production'!H34</f>
        <v>0</v>
      </c>
      <c r="M13" s="962" t="e">
        <f t="shared" si="2"/>
        <v>#VALUE!</v>
      </c>
      <c r="N13" s="963" t="e">
        <f t="shared" si="2"/>
        <v>#VALUE!</v>
      </c>
    </row>
    <row r="14" spans="1:14" x14ac:dyDescent="0.25">
      <c r="A14" s="1269">
        <v>14</v>
      </c>
      <c r="B14" s="724" t="s">
        <v>760</v>
      </c>
      <c r="C14" s="768">
        <f>'Income Statement'!F72+'Income Statement'!F71</f>
        <v>0</v>
      </c>
      <c r="D14" s="682" t="e">
        <f t="shared" si="0"/>
        <v>#VALUE!</v>
      </c>
      <c r="E14" s="931" t="e">
        <f t="shared" si="0"/>
        <v>#VALUE!</v>
      </c>
      <c r="F14" s="931" t="e">
        <f t="shared" ref="F14:F18" si="4">$C14/F$12</f>
        <v>#VALUE!</v>
      </c>
      <c r="G14" s="931" t="e">
        <f t="shared" ref="G14:G18" si="5">($C14-G$12)/E$4</f>
        <v>#VALUE!</v>
      </c>
      <c r="H14" s="932" t="e">
        <f t="shared" ref="H14:H18" si="6">$C14/H$12</f>
        <v>#DIV/0!</v>
      </c>
      <c r="I14" s="949">
        <f>'Estimating Costs of Production'!F35-'Estimating Costs of Production'!F32-'Estimating Costs of Production'!F33-'Estimating Costs of Production'!F34+'Estimating Costs of Production'!F37+'Estimating Costs of Production'!F38</f>
        <v>0</v>
      </c>
      <c r="J14" s="946" t="e">
        <f t="shared" si="1"/>
        <v>#VALUE!</v>
      </c>
      <c r="K14" s="947" t="e">
        <f t="shared" si="1"/>
        <v>#VALUE!</v>
      </c>
      <c r="L14" s="965">
        <f>'Estimating Costs of Production'!H35-'Estimating Costs of Production'!H32+'Estimating Costs of Production'!H48-'Estimating Costs of Production'!H33-'Estimating Costs of Production'!H34-'Estimating Costs of Production'!H39</f>
        <v>0</v>
      </c>
      <c r="M14" s="962" t="e">
        <f t="shared" si="2"/>
        <v>#VALUE!</v>
      </c>
      <c r="N14" s="963" t="e">
        <f t="shared" si="2"/>
        <v>#VALUE!</v>
      </c>
    </row>
    <row r="15" spans="1:14" s="391" customFormat="1" x14ac:dyDescent="0.25">
      <c r="A15" s="1269">
        <v>15</v>
      </c>
      <c r="B15" s="724" t="s">
        <v>761</v>
      </c>
      <c r="C15" s="768">
        <f>'Income Statement'!F52</f>
        <v>0</v>
      </c>
      <c r="D15" s="682" t="e">
        <f t="shared" si="0"/>
        <v>#VALUE!</v>
      </c>
      <c r="E15" s="931" t="e">
        <f t="shared" si="0"/>
        <v>#VALUE!</v>
      </c>
      <c r="F15" s="931" t="e">
        <f t="shared" si="4"/>
        <v>#VALUE!</v>
      </c>
      <c r="G15" s="931" t="e">
        <f t="shared" ref="G15" si="7">($C15-G$12)/E$4</f>
        <v>#VALUE!</v>
      </c>
      <c r="H15" s="932" t="e">
        <f t="shared" si="6"/>
        <v>#DIV/0!</v>
      </c>
      <c r="I15" s="949">
        <f>'Estimating Costs of Production'!F35-'Estimating Costs of Production'!F33-'Estimating Costs of Production'!F34</f>
        <v>0</v>
      </c>
      <c r="J15" s="946" t="e">
        <f t="shared" ref="J15:K18" si="8">$I15/J$4</f>
        <v>#VALUE!</v>
      </c>
      <c r="K15" s="947" t="e">
        <f t="shared" si="8"/>
        <v>#VALUE!</v>
      </c>
      <c r="L15" s="965">
        <f>'Estimating Costs of Production'!H35-'Estimating Costs of Production'!H33-'Estimating Costs of Production'!H34</f>
        <v>0</v>
      </c>
      <c r="M15" s="962" t="e">
        <f t="shared" si="2"/>
        <v>#VALUE!</v>
      </c>
      <c r="N15" s="963" t="e">
        <f t="shared" si="2"/>
        <v>#VALUE!</v>
      </c>
    </row>
    <row r="16" spans="1:14" s="363" customFormat="1" x14ac:dyDescent="0.25">
      <c r="A16" s="1269">
        <v>16</v>
      </c>
      <c r="B16" s="724" t="s">
        <v>559</v>
      </c>
      <c r="C16" s="768">
        <f>'Income Statement'!F72+'Income Statement'!F71+'Income Statement'!F49</f>
        <v>0</v>
      </c>
      <c r="D16" s="682" t="e">
        <f t="shared" si="0"/>
        <v>#VALUE!</v>
      </c>
      <c r="E16" s="931" t="e">
        <f t="shared" si="0"/>
        <v>#VALUE!</v>
      </c>
      <c r="F16" s="931" t="e">
        <f t="shared" si="4"/>
        <v>#VALUE!</v>
      </c>
      <c r="G16" s="931" t="e">
        <f t="shared" si="5"/>
        <v>#VALUE!</v>
      </c>
      <c r="H16" s="932" t="e">
        <f t="shared" si="6"/>
        <v>#DIV/0!</v>
      </c>
      <c r="I16" s="949">
        <f>'Estimating Costs of Production'!F35+'Estimating Costs of Production'!F48-'Estimating Costs of Production'!F33-'Estimating Costs of Production'!F34-'Estimating Costs of Production'!F39</f>
        <v>0</v>
      </c>
      <c r="J16" s="946" t="e">
        <f t="shared" si="8"/>
        <v>#VALUE!</v>
      </c>
      <c r="K16" s="947" t="e">
        <f t="shared" si="8"/>
        <v>#VALUE!</v>
      </c>
      <c r="L16" s="965">
        <f>'Estimating Costs of Production'!H35+'Estimating Costs of Production'!H48-'Estimating Costs of Production'!H33-'Estimating Costs of Production'!H34-'Estimating Costs of Production'!H39</f>
        <v>0</v>
      </c>
      <c r="M16" s="962" t="e">
        <f t="shared" si="2"/>
        <v>#VALUE!</v>
      </c>
      <c r="N16" s="963" t="e">
        <f t="shared" si="2"/>
        <v>#VALUE!</v>
      </c>
    </row>
    <row r="17" spans="1:14" x14ac:dyDescent="0.25">
      <c r="A17" s="1269">
        <v>17</v>
      </c>
      <c r="B17" s="724" t="s">
        <v>562</v>
      </c>
      <c r="C17" s="768">
        <f>'Income Statement'!F72+'Income Statement'!F71+'Income Statement'!F61+'Income Statement'!F63+'Income Statement'!F66</f>
        <v>0</v>
      </c>
      <c r="D17" s="682" t="e">
        <f t="shared" si="0"/>
        <v>#VALUE!</v>
      </c>
      <c r="E17" s="931" t="e">
        <f t="shared" si="0"/>
        <v>#VALUE!</v>
      </c>
      <c r="F17" s="931" t="e">
        <f t="shared" si="4"/>
        <v>#VALUE!</v>
      </c>
      <c r="G17" s="931" t="e">
        <f t="shared" si="5"/>
        <v>#VALUE!</v>
      </c>
      <c r="H17" s="932" t="e">
        <f t="shared" si="6"/>
        <v>#DIV/0!</v>
      </c>
      <c r="I17" s="949">
        <f>'Estimating Costs of Production'!F35-'Estimating Costs of Production'!F32+'Estimating Costs of Production'!F48+'Estimating Costs of Production'!F40+'Estimating Costs of Production'!F42+'Estimating Costs of Production'!F43-'Estimating Costs of Production'!F33-'Estimating Costs of Production'!F34-'Estimating Costs of Production'!F39-'Estimating Costs of Production'!F44</f>
        <v>0</v>
      </c>
      <c r="J17" s="946" t="e">
        <f t="shared" si="8"/>
        <v>#VALUE!</v>
      </c>
      <c r="K17" s="947" t="e">
        <f t="shared" si="8"/>
        <v>#VALUE!</v>
      </c>
      <c r="L17" s="965">
        <f>'Estimating Costs of Production'!H35-'Estimating Costs of Production'!H32+'Estimating Costs of Production'!H48+'Estimating Costs of Production'!H40+'Estimating Costs of Production'!H42+'Estimating Costs of Production'!H43-'Estimating Costs of Production'!H33-'Estimating Costs of Production'!H34-'Estimating Costs of Production'!H39-'Estimating Costs of Production'!H44</f>
        <v>0</v>
      </c>
      <c r="M17" s="962" t="e">
        <f t="shared" si="2"/>
        <v>#VALUE!</v>
      </c>
      <c r="N17" s="963" t="e">
        <f t="shared" si="2"/>
        <v>#VALUE!</v>
      </c>
    </row>
    <row r="18" spans="1:14" s="363" customFormat="1" x14ac:dyDescent="0.25">
      <c r="A18" s="1269">
        <v>18</v>
      </c>
      <c r="B18" s="724" t="s">
        <v>560</v>
      </c>
      <c r="C18" s="768">
        <f>C17+'Income Statement'!F49</f>
        <v>0</v>
      </c>
      <c r="D18" s="682" t="e">
        <f t="shared" si="0"/>
        <v>#VALUE!</v>
      </c>
      <c r="E18" s="931" t="e">
        <f t="shared" si="0"/>
        <v>#VALUE!</v>
      </c>
      <c r="F18" s="931" t="e">
        <f t="shared" si="4"/>
        <v>#VALUE!</v>
      </c>
      <c r="G18" s="931" t="e">
        <f t="shared" si="5"/>
        <v>#VALUE!</v>
      </c>
      <c r="H18" s="932" t="e">
        <f t="shared" si="6"/>
        <v>#DIV/0!</v>
      </c>
      <c r="I18" s="949">
        <f>I17+'Estimating Costs of Production'!F32</f>
        <v>0</v>
      </c>
      <c r="J18" s="946" t="e">
        <f t="shared" si="8"/>
        <v>#VALUE!</v>
      </c>
      <c r="K18" s="947" t="e">
        <f t="shared" si="8"/>
        <v>#VALUE!</v>
      </c>
      <c r="L18" s="965">
        <f>L17+'Estimating Costs of Production'!H32</f>
        <v>0</v>
      </c>
      <c r="M18" s="962" t="e">
        <f t="shared" si="2"/>
        <v>#VALUE!</v>
      </c>
      <c r="N18" s="963" t="e">
        <f t="shared" si="2"/>
        <v>#VALUE!</v>
      </c>
    </row>
    <row r="19" spans="1:14" ht="36" customHeight="1" x14ac:dyDescent="0.25">
      <c r="A19" s="1269">
        <v>19</v>
      </c>
      <c r="B19" s="804" t="s">
        <v>710</v>
      </c>
      <c r="C19" s="728"/>
      <c r="D19" s="728"/>
      <c r="E19" s="728"/>
      <c r="F19" s="728"/>
      <c r="G19" s="728"/>
      <c r="H19" s="933"/>
      <c r="I19" s="1129"/>
      <c r="J19" s="943"/>
      <c r="K19" s="944"/>
      <c r="L19" s="958"/>
      <c r="M19" s="959"/>
      <c r="N19" s="960"/>
    </row>
    <row r="20" spans="1:14" x14ac:dyDescent="0.25">
      <c r="A20" s="1269">
        <v>20</v>
      </c>
      <c r="B20" s="724" t="s">
        <v>301</v>
      </c>
      <c r="C20" s="768">
        <f>'Income Statement'!G71</f>
        <v>0</v>
      </c>
      <c r="D20" s="682" t="e">
        <f t="shared" si="0"/>
        <v>#VALUE!</v>
      </c>
      <c r="E20" s="931" t="e">
        <f t="shared" si="0"/>
        <v>#VALUE!</v>
      </c>
      <c r="F20" s="931" t="e">
        <f>$C20/F$4</f>
        <v>#VALUE!</v>
      </c>
      <c r="G20" s="931" t="s">
        <v>492</v>
      </c>
      <c r="H20" s="932" t="e">
        <f t="shared" ref="H20:H31" si="9">$C20/H$4</f>
        <v>#DIV/0!</v>
      </c>
      <c r="I20" s="945">
        <f>'Estimating Costs of Production'!F48</f>
        <v>0</v>
      </c>
      <c r="J20" s="946" t="e">
        <f t="shared" ref="J20:K25" si="10">$I20/J$4</f>
        <v>#VALUE!</v>
      </c>
      <c r="K20" s="947" t="e">
        <f t="shared" si="10"/>
        <v>#VALUE!</v>
      </c>
      <c r="L20" s="961">
        <f>'Estimating Costs of Production'!H48</f>
        <v>0</v>
      </c>
      <c r="M20" s="962" t="e">
        <f t="shared" si="2"/>
        <v>#VALUE!</v>
      </c>
      <c r="N20" s="963" t="e">
        <f t="shared" si="2"/>
        <v>#VALUE!</v>
      </c>
    </row>
    <row r="21" spans="1:14" s="335" customFormat="1" x14ac:dyDescent="0.25">
      <c r="A21" s="1269">
        <v>21</v>
      </c>
      <c r="B21" s="724" t="s">
        <v>488</v>
      </c>
      <c r="C21" s="768">
        <f>'Income Statement'!G22</f>
        <v>0</v>
      </c>
      <c r="D21" s="682" t="e">
        <f t="shared" si="0"/>
        <v>#VALUE!</v>
      </c>
      <c r="E21" s="931" t="e">
        <f t="shared" si="0"/>
        <v>#VALUE!</v>
      </c>
      <c r="F21" s="931" t="e">
        <f t="shared" si="0"/>
        <v>#VALUE!</v>
      </c>
      <c r="G21" s="931" t="s">
        <v>492</v>
      </c>
      <c r="H21" s="932" t="e">
        <f t="shared" si="9"/>
        <v>#DIV/0!</v>
      </c>
      <c r="I21" s="945">
        <f>'Estimating Costs of Production'!F5</f>
        <v>0</v>
      </c>
      <c r="J21" s="946" t="e">
        <f t="shared" si="10"/>
        <v>#VALUE!</v>
      </c>
      <c r="K21" s="947" t="e">
        <f t="shared" si="10"/>
        <v>#VALUE!</v>
      </c>
      <c r="L21" s="961">
        <f>'Estimating Costs of Production'!H5</f>
        <v>0</v>
      </c>
      <c r="M21" s="962" t="e">
        <f t="shared" si="2"/>
        <v>#VALUE!</v>
      </c>
      <c r="N21" s="963" t="e">
        <f t="shared" si="2"/>
        <v>#VALUE!</v>
      </c>
    </row>
    <row r="22" spans="1:14" s="335" customFormat="1" x14ac:dyDescent="0.25">
      <c r="A22" s="1269">
        <v>22</v>
      </c>
      <c r="B22" s="724" t="s">
        <v>489</v>
      </c>
      <c r="C22" s="768">
        <f>'Input Sheet'!C71</f>
        <v>0</v>
      </c>
      <c r="D22" s="682" t="e">
        <f t="shared" si="0"/>
        <v>#VALUE!</v>
      </c>
      <c r="E22" s="931" t="e">
        <f t="shared" si="0"/>
        <v>#VALUE!</v>
      </c>
      <c r="F22" s="931" t="e">
        <f t="shared" si="0"/>
        <v>#VALUE!</v>
      </c>
      <c r="G22" s="931" t="s">
        <v>492</v>
      </c>
      <c r="H22" s="932" t="e">
        <f t="shared" si="9"/>
        <v>#DIV/0!</v>
      </c>
      <c r="I22" s="945">
        <f>'Input Sheet'!C71*'Estimating Costs of Production'!E5</f>
        <v>0</v>
      </c>
      <c r="J22" s="946" t="e">
        <f t="shared" si="10"/>
        <v>#VALUE!</v>
      </c>
      <c r="K22" s="947" t="e">
        <f t="shared" si="10"/>
        <v>#VALUE!</v>
      </c>
      <c r="L22" s="961">
        <f>'Input Sheet'!C71*'Estimating Costs of Production'!G5</f>
        <v>0</v>
      </c>
      <c r="M22" s="962" t="e">
        <f t="shared" si="2"/>
        <v>#VALUE!</v>
      </c>
      <c r="N22" s="963" t="e">
        <f t="shared" si="2"/>
        <v>#VALUE!</v>
      </c>
    </row>
    <row r="23" spans="1:14" s="335" customFormat="1" x14ac:dyDescent="0.25">
      <c r="A23" s="1269">
        <v>23</v>
      </c>
      <c r="B23" s="724" t="s">
        <v>490</v>
      </c>
      <c r="C23" s="768">
        <f>SUM(C21:C22)</f>
        <v>0</v>
      </c>
      <c r="D23" s="682" t="e">
        <f t="shared" ref="D23:F31" si="11">$C23/D$4</f>
        <v>#VALUE!</v>
      </c>
      <c r="E23" s="931" t="e">
        <f t="shared" si="11"/>
        <v>#VALUE!</v>
      </c>
      <c r="F23" s="931" t="e">
        <f t="shared" si="11"/>
        <v>#VALUE!</v>
      </c>
      <c r="G23" s="931" t="s">
        <v>492</v>
      </c>
      <c r="H23" s="932" t="e">
        <f t="shared" si="9"/>
        <v>#DIV/0!</v>
      </c>
      <c r="I23" s="945">
        <f>SUM(I21:I22)</f>
        <v>0</v>
      </c>
      <c r="J23" s="946" t="e">
        <f t="shared" si="10"/>
        <v>#VALUE!</v>
      </c>
      <c r="K23" s="947" t="e">
        <f t="shared" si="10"/>
        <v>#VALUE!</v>
      </c>
      <c r="L23" s="961">
        <f>SUM(L21:L22)</f>
        <v>0</v>
      </c>
      <c r="M23" s="962" t="e">
        <f t="shared" ref="M23:N25" si="12">$L23/M$4</f>
        <v>#VALUE!</v>
      </c>
      <c r="N23" s="963" t="e">
        <f t="shared" si="12"/>
        <v>#VALUE!</v>
      </c>
    </row>
    <row r="24" spans="1:14" s="335" customFormat="1" x14ac:dyDescent="0.25">
      <c r="A24" s="1269">
        <v>24</v>
      </c>
      <c r="B24" s="724" t="s">
        <v>563</v>
      </c>
      <c r="C24" s="768">
        <f>'Income Statement'!F49</f>
        <v>0</v>
      </c>
      <c r="D24" s="682" t="e">
        <f t="shared" si="11"/>
        <v>#VALUE!</v>
      </c>
      <c r="E24" s="931" t="e">
        <f t="shared" si="11"/>
        <v>#VALUE!</v>
      </c>
      <c r="F24" s="931" t="e">
        <f t="shared" si="11"/>
        <v>#VALUE!</v>
      </c>
      <c r="G24" s="931" t="s">
        <v>492</v>
      </c>
      <c r="H24" s="932" t="e">
        <f t="shared" si="9"/>
        <v>#DIV/0!</v>
      </c>
      <c r="I24" s="945">
        <f>C24*'Estimating Costs of Production'!E32</f>
        <v>0</v>
      </c>
      <c r="J24" s="946" t="e">
        <f t="shared" si="10"/>
        <v>#VALUE!</v>
      </c>
      <c r="K24" s="947" t="e">
        <f t="shared" si="10"/>
        <v>#VALUE!</v>
      </c>
      <c r="L24" s="961">
        <f>C24*'Estimating Costs of Production'!G32</f>
        <v>0</v>
      </c>
      <c r="M24" s="962" t="e">
        <f t="shared" si="12"/>
        <v>#VALUE!</v>
      </c>
      <c r="N24" s="963" t="e">
        <f t="shared" si="12"/>
        <v>#VALUE!</v>
      </c>
    </row>
    <row r="25" spans="1:14" s="363" customFormat="1" x14ac:dyDescent="0.25">
      <c r="A25" s="1269">
        <v>25</v>
      </c>
      <c r="B25" s="724" t="s">
        <v>564</v>
      </c>
      <c r="C25" s="768">
        <f>'Income Statement'!G49</f>
        <v>0</v>
      </c>
      <c r="D25" s="682" t="e">
        <f t="shared" si="11"/>
        <v>#VALUE!</v>
      </c>
      <c r="E25" s="931" t="e">
        <f t="shared" si="11"/>
        <v>#VALUE!</v>
      </c>
      <c r="F25" s="931" t="e">
        <f t="shared" si="11"/>
        <v>#VALUE!</v>
      </c>
      <c r="G25" s="931" t="s">
        <v>492</v>
      </c>
      <c r="H25" s="932" t="e">
        <f t="shared" si="9"/>
        <v>#DIV/0!</v>
      </c>
      <c r="I25" s="945">
        <f>'Estimating Costs of Production'!F32</f>
        <v>0</v>
      </c>
      <c r="J25" s="946" t="e">
        <f t="shared" si="10"/>
        <v>#VALUE!</v>
      </c>
      <c r="K25" s="947" t="e">
        <f t="shared" si="10"/>
        <v>#VALUE!</v>
      </c>
      <c r="L25" s="961">
        <f>'Estimating Costs of Production'!H32</f>
        <v>0</v>
      </c>
      <c r="M25" s="962" t="e">
        <f t="shared" si="12"/>
        <v>#VALUE!</v>
      </c>
      <c r="N25" s="963" t="e">
        <f t="shared" si="12"/>
        <v>#VALUE!</v>
      </c>
    </row>
    <row r="26" spans="1:14" s="335" customFormat="1" x14ac:dyDescent="0.25">
      <c r="A26" s="1269">
        <v>26</v>
      </c>
      <c r="B26" s="724" t="s">
        <v>491</v>
      </c>
      <c r="C26" s="768">
        <f>'Repayment &amp; Replacement'!D17</f>
        <v>0</v>
      </c>
      <c r="D26" s="682" t="e">
        <f t="shared" si="11"/>
        <v>#VALUE!</v>
      </c>
      <c r="E26" s="931" t="e">
        <f t="shared" si="11"/>
        <v>#VALUE!</v>
      </c>
      <c r="F26" s="931" t="e">
        <f t="shared" si="11"/>
        <v>#VALUE!</v>
      </c>
      <c r="G26" s="931" t="s">
        <v>492</v>
      </c>
      <c r="H26" s="932" t="e">
        <f t="shared" si="9"/>
        <v>#DIV/0!</v>
      </c>
      <c r="I26" s="1129"/>
      <c r="J26" s="943"/>
      <c r="K26" s="944"/>
      <c r="L26" s="958"/>
      <c r="M26" s="959"/>
      <c r="N26" s="960"/>
    </row>
    <row r="27" spans="1:14" s="335" customFormat="1" x14ac:dyDescent="0.25">
      <c r="A27" s="1269">
        <v>27</v>
      </c>
      <c r="B27" s="724" t="s">
        <v>9</v>
      </c>
      <c r="C27" s="768">
        <f>'Income Statement'!G27</f>
        <v>0</v>
      </c>
      <c r="D27" s="682" t="e">
        <f t="shared" si="11"/>
        <v>#VALUE!</v>
      </c>
      <c r="E27" s="931" t="e">
        <f t="shared" si="11"/>
        <v>#VALUE!</v>
      </c>
      <c r="F27" s="1327" t="e">
        <f t="shared" si="11"/>
        <v>#VALUE!</v>
      </c>
      <c r="G27" s="931" t="s">
        <v>492</v>
      </c>
      <c r="H27" s="932" t="e">
        <f t="shared" si="9"/>
        <v>#DIV/0!</v>
      </c>
      <c r="I27" s="945">
        <f>'Estimating Costs of Production'!F10</f>
        <v>0</v>
      </c>
      <c r="J27" s="946" t="e">
        <f t="shared" ref="J27:K29" si="13">$I27/J$4</f>
        <v>#VALUE!</v>
      </c>
      <c r="K27" s="947" t="e">
        <f t="shared" si="13"/>
        <v>#VALUE!</v>
      </c>
      <c r="L27" s="961">
        <f>'Estimating Costs of Production'!H10</f>
        <v>0</v>
      </c>
      <c r="M27" s="962" t="e">
        <f t="shared" ref="M27:N29" si="14">$L27/M$4</f>
        <v>#VALUE!</v>
      </c>
      <c r="N27" s="963" t="e">
        <f t="shared" si="14"/>
        <v>#VALUE!</v>
      </c>
    </row>
    <row r="28" spans="1:14" s="372" customFormat="1" x14ac:dyDescent="0.25">
      <c r="A28" s="1269">
        <v>28</v>
      </c>
      <c r="B28" s="724" t="s">
        <v>1026</v>
      </c>
      <c r="C28" s="768">
        <f>'Income Statement'!G24+'Income Statement'!G28+'Income Statement'!G35-'IS Schedules'!K13</f>
        <v>0</v>
      </c>
      <c r="D28" s="682" t="e">
        <f t="shared" si="11"/>
        <v>#VALUE!</v>
      </c>
      <c r="E28" s="931" t="e">
        <f t="shared" si="11"/>
        <v>#VALUE!</v>
      </c>
      <c r="F28" s="1327" t="e">
        <f t="shared" si="11"/>
        <v>#VALUE!</v>
      </c>
      <c r="G28" s="931" t="s">
        <v>492</v>
      </c>
      <c r="H28" s="932" t="e">
        <f>$C28/H$4</f>
        <v>#DIV/0!</v>
      </c>
      <c r="I28" s="945">
        <f>'Estimating Costs of Production'!F7+'Estimating Costs of Production'!F11+'Estimating Costs of Production'!F18+'Estimating Costs of Production'!F33</f>
        <v>0</v>
      </c>
      <c r="J28" s="946" t="e">
        <f t="shared" si="13"/>
        <v>#VALUE!</v>
      </c>
      <c r="K28" s="947" t="e">
        <f t="shared" si="13"/>
        <v>#VALUE!</v>
      </c>
      <c r="L28" s="961">
        <f>'Estimating Costs of Production'!H7+'Estimating Costs of Production'!H11+'Estimating Costs of Production'!H18+'Estimating Costs of Production'!H33</f>
        <v>0</v>
      </c>
      <c r="M28" s="962" t="e">
        <f t="shared" si="14"/>
        <v>#VALUE!</v>
      </c>
      <c r="N28" s="963" t="e">
        <f t="shared" si="14"/>
        <v>#VALUE!</v>
      </c>
    </row>
    <row r="29" spans="1:14" s="372" customFormat="1" x14ac:dyDescent="0.25">
      <c r="A29" s="1269">
        <v>29</v>
      </c>
      <c r="B29" s="724" t="s">
        <v>1120</v>
      </c>
      <c r="C29" s="768">
        <f>SUM(C27:C28)</f>
        <v>0</v>
      </c>
      <c r="D29" s="682" t="e">
        <f t="shared" si="11"/>
        <v>#VALUE!</v>
      </c>
      <c r="E29" s="931" t="e">
        <f t="shared" si="11"/>
        <v>#VALUE!</v>
      </c>
      <c r="F29" s="1327" t="e">
        <f t="shared" si="11"/>
        <v>#VALUE!</v>
      </c>
      <c r="G29" s="931" t="s">
        <v>492</v>
      </c>
      <c r="H29" s="932" t="e">
        <f>$C29/H$4</f>
        <v>#DIV/0!</v>
      </c>
      <c r="I29" s="945">
        <f>SUM(I27:I28)</f>
        <v>0</v>
      </c>
      <c r="J29" s="946" t="e">
        <f t="shared" si="13"/>
        <v>#VALUE!</v>
      </c>
      <c r="K29" s="947" t="e">
        <f t="shared" si="13"/>
        <v>#VALUE!</v>
      </c>
      <c r="L29" s="961">
        <f>SUM(L27:L28)</f>
        <v>0</v>
      </c>
      <c r="M29" s="962" t="e">
        <f t="shared" si="14"/>
        <v>#VALUE!</v>
      </c>
      <c r="N29" s="963" t="e">
        <f t="shared" si="14"/>
        <v>#VALUE!</v>
      </c>
    </row>
    <row r="30" spans="1:14" s="372" customFormat="1" x14ac:dyDescent="0.25">
      <c r="A30" s="1269">
        <v>30</v>
      </c>
      <c r="B30" s="1326" t="s">
        <v>1121</v>
      </c>
      <c r="C30" s="768">
        <f>C29-'Input Sheet'!C16-'Input Sheet'!C22-'Input Sheet'!C25-'IS Schedules'!K8</f>
        <v>0</v>
      </c>
      <c r="D30" s="682" t="e">
        <f t="shared" si="11"/>
        <v>#VALUE!</v>
      </c>
      <c r="E30" s="931" t="e">
        <f t="shared" si="11"/>
        <v>#VALUE!</v>
      </c>
      <c r="F30" s="1327" t="e">
        <f t="shared" si="11"/>
        <v>#VALUE!</v>
      </c>
      <c r="G30" s="931" t="s">
        <v>492</v>
      </c>
      <c r="H30" s="932" t="e">
        <f>$C30/H$4</f>
        <v>#DIV/0!</v>
      </c>
      <c r="I30" s="945"/>
      <c r="J30" s="946"/>
      <c r="K30" s="947"/>
      <c r="L30" s="961"/>
      <c r="M30" s="962"/>
      <c r="N30" s="963"/>
    </row>
    <row r="31" spans="1:14" s="335" customFormat="1" ht="15.75" thickBot="1" x14ac:dyDescent="0.3">
      <c r="A31" s="1269">
        <v>31</v>
      </c>
      <c r="B31" s="754" t="s">
        <v>725</v>
      </c>
      <c r="C31" s="771">
        <f>SUM('Income Statement'!G40:G43)</f>
        <v>0</v>
      </c>
      <c r="D31" s="934" t="e">
        <f t="shared" si="11"/>
        <v>#VALUE!</v>
      </c>
      <c r="E31" s="935" t="e">
        <f t="shared" si="11"/>
        <v>#VALUE!</v>
      </c>
      <c r="F31" s="1328" t="e">
        <f t="shared" si="11"/>
        <v>#VALUE!</v>
      </c>
      <c r="G31" s="935" t="s">
        <v>492</v>
      </c>
      <c r="H31" s="936" t="e">
        <f t="shared" si="9"/>
        <v>#DIV/0!</v>
      </c>
      <c r="I31" s="950">
        <f>'Estimating Costs of Production'!F23+'Estimating Costs of Production'!F24+'Estimating Costs of Production'!F25+'Estimating Costs of Production'!F26</f>
        <v>0</v>
      </c>
      <c r="J31" s="951" t="e">
        <f>$I31/J$4</f>
        <v>#VALUE!</v>
      </c>
      <c r="K31" s="952" t="e">
        <f>$I31/K$4</f>
        <v>#VALUE!</v>
      </c>
      <c r="L31" s="966">
        <f>'Estimating Costs of Production'!H23+'Estimating Costs of Production'!H24+'Estimating Costs of Production'!H25+'Estimating Costs of Production'!H26</f>
        <v>0</v>
      </c>
      <c r="M31" s="967" t="e">
        <f>$L31/M$4</f>
        <v>#VALUE!</v>
      </c>
      <c r="N31" s="968" t="e">
        <f>$L31/N$4</f>
        <v>#VALUE!</v>
      </c>
    </row>
    <row r="32" spans="1:14" s="335" customFormat="1" x14ac:dyDescent="0.25">
      <c r="A32" s="391"/>
      <c r="I32" s="391"/>
    </row>
    <row r="33" spans="2:9" ht="160.9" customHeight="1" x14ac:dyDescent="0.25">
      <c r="B33" s="1723" t="s">
        <v>1015</v>
      </c>
      <c r="C33" s="1723"/>
      <c r="D33" s="1723"/>
      <c r="E33" s="1723"/>
      <c r="F33" s="1723"/>
      <c r="G33" s="1723"/>
      <c r="H33" s="1723"/>
      <c r="I33" s="434"/>
    </row>
    <row r="34" spans="2:9" s="391" customFormat="1" ht="103.9" customHeight="1" x14ac:dyDescent="0.25">
      <c r="B34" s="1723" t="s">
        <v>1162</v>
      </c>
      <c r="C34" s="1723"/>
      <c r="D34" s="1723"/>
      <c r="E34" s="1723"/>
      <c r="F34" s="1723"/>
      <c r="G34" s="1723"/>
      <c r="H34" s="1723"/>
      <c r="I34" s="434"/>
    </row>
    <row r="35" spans="2:9" s="38" customFormat="1" ht="27.6" customHeight="1" x14ac:dyDescent="0.25">
      <c r="B35" s="1758" t="s">
        <v>1022</v>
      </c>
      <c r="C35" s="1758"/>
      <c r="D35" s="1758"/>
      <c r="E35" s="1758"/>
      <c r="F35" s="1758"/>
      <c r="G35" s="1758"/>
      <c r="H35" s="1758"/>
      <c r="I35" s="1006"/>
    </row>
    <row r="36" spans="2:9" s="38" customFormat="1" ht="25.5" customHeight="1" x14ac:dyDescent="0.25">
      <c r="B36" s="33" t="s">
        <v>1014</v>
      </c>
    </row>
  </sheetData>
  <sheetProtection sheet="1" objects="1" scenarios="1" selectLockedCells="1"/>
  <mergeCells count="9">
    <mergeCell ref="B35:H35"/>
    <mergeCell ref="L1:N2"/>
    <mergeCell ref="I1:K2"/>
    <mergeCell ref="B34:H34"/>
    <mergeCell ref="B1:G1"/>
    <mergeCell ref="B2:C2"/>
    <mergeCell ref="D2:H2"/>
    <mergeCell ref="B3:B4"/>
    <mergeCell ref="B33:H33"/>
  </mergeCells>
  <phoneticPr fontId="39" type="noConversion"/>
  <pageMargins left="0.7" right="0.7" top="0.75" bottom="0.75" header="0.3" footer="0.3"/>
  <pageSetup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6C626-F7C9-410D-84E0-C63CEE6CA358}">
  <sheetPr>
    <tabColor rgb="FFFFFF81"/>
  </sheetPr>
  <dimension ref="A1:BW116"/>
  <sheetViews>
    <sheetView showGridLines="0" zoomScale="90" zoomScaleNormal="90" workbookViewId="0">
      <selection activeCell="E107" sqref="E107"/>
    </sheetView>
  </sheetViews>
  <sheetFormatPr defaultColWidth="9.140625" defaultRowHeight="15" x14ac:dyDescent="0.25"/>
  <cols>
    <col min="1" max="1" width="30.28515625" style="345" customWidth="1"/>
    <col min="2" max="3" width="9.5703125" style="345" customWidth="1"/>
    <col min="4" max="4" width="11.5703125" style="1" bestFit="1" customWidth="1"/>
    <col min="5" max="5" width="11.42578125" style="1" customWidth="1"/>
    <col min="6" max="6" width="7.7109375" style="1" customWidth="1"/>
    <col min="7" max="8" width="8.7109375" style="1" customWidth="1"/>
    <col min="9" max="11" width="11.7109375" style="345" customWidth="1"/>
    <col min="12" max="12" width="26.42578125" style="345" customWidth="1"/>
    <col min="13" max="14" width="9.85546875" style="345" customWidth="1"/>
    <col min="15" max="17" width="11.85546875" style="345" hidden="1" customWidth="1"/>
    <col min="18" max="18" width="10.42578125" style="345" hidden="1" customWidth="1"/>
    <col min="19" max="55" width="9.140625" style="345" hidden="1" customWidth="1"/>
    <col min="56" max="16384" width="9.140625" style="345"/>
  </cols>
  <sheetData>
    <row r="1" spans="1:75" ht="30.6" customHeight="1" x14ac:dyDescent="0.25">
      <c r="A1" s="1824" t="s">
        <v>678</v>
      </c>
      <c r="B1" s="1737"/>
      <c r="C1" s="1737"/>
      <c r="D1" s="1737"/>
      <c r="E1" s="1737"/>
      <c r="F1" s="1737"/>
      <c r="G1" s="1737"/>
      <c r="H1" s="1737"/>
      <c r="I1" s="1737"/>
      <c r="J1" s="1737"/>
      <c r="K1" s="1737"/>
      <c r="L1" s="1737"/>
    </row>
    <row r="2" spans="1:75" ht="54.95" customHeight="1" x14ac:dyDescent="0.25">
      <c r="A2" s="1823" t="s">
        <v>1122</v>
      </c>
      <c r="B2" s="1823"/>
      <c r="C2" s="1823"/>
      <c r="D2" s="1823"/>
      <c r="E2" s="1823"/>
      <c r="F2" s="1823"/>
      <c r="G2" s="1823"/>
      <c r="H2" s="1823"/>
      <c r="I2" s="1823"/>
      <c r="J2" s="1823"/>
      <c r="K2" s="1823"/>
      <c r="L2" s="1823"/>
    </row>
    <row r="3" spans="1:75" s="391" customFormat="1" ht="9.6" customHeight="1" thickBot="1" x14ac:dyDescent="0.3">
      <c r="A3" s="1090"/>
      <c r="B3" s="1090"/>
      <c r="C3" s="1092"/>
      <c r="D3" s="1092"/>
      <c r="E3" s="1092"/>
      <c r="F3" s="1092"/>
      <c r="G3" s="1092"/>
      <c r="H3" s="1092"/>
      <c r="I3" s="1090"/>
      <c r="J3" s="1090"/>
      <c r="K3" s="1090"/>
      <c r="L3" s="1090"/>
    </row>
    <row r="4" spans="1:75" s="391" customFormat="1" ht="33.6" customHeight="1" x14ac:dyDescent="0.25">
      <c r="A4" s="1090"/>
      <c r="B4" s="1090"/>
      <c r="C4" s="1831" t="s">
        <v>1001</v>
      </c>
      <c r="D4" s="1832"/>
      <c r="E4" s="1832"/>
      <c r="F4" s="1832"/>
      <c r="G4" s="1832"/>
      <c r="H4" s="1833"/>
      <c r="I4" s="1097" t="s">
        <v>905</v>
      </c>
      <c r="J4" s="1095" t="s">
        <v>26</v>
      </c>
      <c r="K4" s="1095" t="s">
        <v>999</v>
      </c>
      <c r="L4" s="1096" t="s">
        <v>1000</v>
      </c>
    </row>
    <row r="5" spans="1:75" s="1004" customFormat="1" ht="18" customHeight="1" x14ac:dyDescent="0.25">
      <c r="A5" s="1083"/>
      <c r="B5" s="72"/>
      <c r="C5" s="1825" t="s">
        <v>998</v>
      </c>
      <c r="D5" s="1826"/>
      <c r="E5" s="1836" t="s">
        <v>978</v>
      </c>
      <c r="F5" s="1837"/>
      <c r="G5" s="1837"/>
      <c r="H5" s="1837"/>
      <c r="I5" s="1093" t="e">
        <f>I13</f>
        <v>#DIV/0!</v>
      </c>
      <c r="J5" s="1093" t="e">
        <f>J13</f>
        <v>#DIV/0!</v>
      </c>
      <c r="K5" s="1093" t="e">
        <f>K13</f>
        <v>#DIV/0!</v>
      </c>
      <c r="L5" s="1094">
        <f>L13</f>
        <v>0</v>
      </c>
    </row>
    <row r="6" spans="1:75" s="1004" customFormat="1" ht="18" customHeight="1" x14ac:dyDescent="0.25">
      <c r="A6" s="1083"/>
      <c r="B6" s="72"/>
      <c r="C6" s="1827"/>
      <c r="D6" s="1828"/>
      <c r="E6" s="1834" t="s">
        <v>979</v>
      </c>
      <c r="F6" s="1835"/>
      <c r="G6" s="1835"/>
      <c r="H6" s="1835"/>
      <c r="I6" s="1069" t="e">
        <f>I63</f>
        <v>#DIV/0!</v>
      </c>
      <c r="J6" s="1069" t="e">
        <f>J63</f>
        <v>#DIV/0!</v>
      </c>
      <c r="K6" s="1069" t="e">
        <f>K63</f>
        <v>#DIV/0!</v>
      </c>
      <c r="L6" s="1070">
        <f>L63</f>
        <v>0</v>
      </c>
    </row>
    <row r="7" spans="1:75" s="1004" customFormat="1" ht="18" customHeight="1" x14ac:dyDescent="0.25">
      <c r="A7" s="1083"/>
      <c r="B7" s="72"/>
      <c r="C7" s="1827"/>
      <c r="D7" s="1828"/>
      <c r="E7" s="1834" t="s">
        <v>980</v>
      </c>
      <c r="F7" s="1835"/>
      <c r="G7" s="1835"/>
      <c r="H7" s="1835"/>
      <c r="I7" s="1069" t="e">
        <f>I83</f>
        <v>#DIV/0!</v>
      </c>
      <c r="J7" s="1069" t="e">
        <f>J83</f>
        <v>#DIV/0!</v>
      </c>
      <c r="K7" s="1069" t="e">
        <f>K83</f>
        <v>#DIV/0!</v>
      </c>
      <c r="L7" s="1070">
        <f>L83</f>
        <v>0</v>
      </c>
    </row>
    <row r="8" spans="1:75" s="1004" customFormat="1" ht="18" customHeight="1" x14ac:dyDescent="0.25">
      <c r="A8" s="1083"/>
      <c r="B8" s="72"/>
      <c r="C8" s="1827"/>
      <c r="D8" s="1828"/>
      <c r="E8" s="1834" t="s">
        <v>294</v>
      </c>
      <c r="F8" s="1835"/>
      <c r="G8" s="1835"/>
      <c r="H8" s="1835"/>
      <c r="I8" s="1069" t="e">
        <f>I98</f>
        <v>#DIV/0!</v>
      </c>
      <c r="J8" s="1069" t="e">
        <f>J98</f>
        <v>#DIV/0!</v>
      </c>
      <c r="K8" s="1069" t="e">
        <f>K98</f>
        <v>#DIV/0!</v>
      </c>
      <c r="L8" s="1070">
        <f>L98</f>
        <v>0</v>
      </c>
    </row>
    <row r="9" spans="1:75" s="584" customFormat="1" ht="22.5" customHeight="1" thickBot="1" x14ac:dyDescent="0.3">
      <c r="A9" s="1091"/>
      <c r="B9" s="72"/>
      <c r="C9" s="1829"/>
      <c r="D9" s="1830"/>
      <c r="E9" s="1838" t="s">
        <v>866</v>
      </c>
      <c r="F9" s="1839"/>
      <c r="G9" s="1839"/>
      <c r="H9" s="1839"/>
      <c r="I9" s="1071" t="e">
        <f>SUM(I5:I8)</f>
        <v>#DIV/0!</v>
      </c>
      <c r="J9" s="1072"/>
      <c r="K9" s="1072"/>
      <c r="L9" s="1073"/>
    </row>
    <row r="10" spans="1:75" s="1004" customFormat="1" ht="12.6" customHeight="1" x14ac:dyDescent="0.25">
      <c r="A10" s="1084"/>
      <c r="B10" s="1085"/>
      <c r="C10" s="1085"/>
      <c r="D10" s="1085"/>
      <c r="E10" s="1087"/>
      <c r="F10" s="1087"/>
      <c r="G10" s="1087"/>
      <c r="H10" s="1087"/>
      <c r="I10" s="1088"/>
      <c r="J10" s="1086"/>
      <c r="K10" s="1086"/>
      <c r="L10" s="1089"/>
    </row>
    <row r="11" spans="1:75" s="1004" customFormat="1" ht="22.5" customHeight="1" x14ac:dyDescent="0.25">
      <c r="A11" s="1098" t="s">
        <v>524</v>
      </c>
      <c r="B11" s="2027"/>
      <c r="C11" s="1036"/>
      <c r="D11" s="1005"/>
      <c r="E11" s="1005"/>
      <c r="F11" s="1034"/>
      <c r="G11" s="1034"/>
      <c r="H11" s="1035"/>
      <c r="I11" s="1818" t="s">
        <v>976</v>
      </c>
      <c r="J11" s="1819"/>
      <c r="K11" s="1820"/>
      <c r="L11" s="1821" t="s">
        <v>975</v>
      </c>
    </row>
    <row r="12" spans="1:75" s="1004" customFormat="1" ht="69" customHeight="1" x14ac:dyDescent="0.25">
      <c r="A12" s="1067" t="s">
        <v>525</v>
      </c>
      <c r="B12" s="1067" t="s">
        <v>977</v>
      </c>
      <c r="C12" s="1067" t="s">
        <v>679</v>
      </c>
      <c r="D12" s="1064" t="s">
        <v>526</v>
      </c>
      <c r="E12" s="1064" t="s">
        <v>530</v>
      </c>
      <c r="F12" s="1064" t="s">
        <v>531</v>
      </c>
      <c r="G12" s="1064" t="s">
        <v>532</v>
      </c>
      <c r="H12" s="1065" t="s">
        <v>533</v>
      </c>
      <c r="I12" s="1066" t="s">
        <v>528</v>
      </c>
      <c r="J12" s="1067" t="s">
        <v>26</v>
      </c>
      <c r="K12" s="1068" t="s">
        <v>527</v>
      </c>
      <c r="L12" s="1822"/>
    </row>
    <row r="13" spans="1:75" s="344" customFormat="1" ht="25.5" customHeight="1" x14ac:dyDescent="0.25">
      <c r="A13" s="1074" t="s">
        <v>87</v>
      </c>
      <c r="B13" s="1075"/>
      <c r="C13" s="1075"/>
      <c r="D13" s="1076">
        <f>SUM(D14:D62)</f>
        <v>0</v>
      </c>
      <c r="E13" s="1078"/>
      <c r="F13" s="1079"/>
      <c r="G13" s="1079"/>
      <c r="H13" s="1079"/>
      <c r="I13" s="1080" t="e">
        <f>SUM(I14:I62)</f>
        <v>#DIV/0!</v>
      </c>
      <c r="J13" s="1076" t="e">
        <f>SUM(J14:J62)</f>
        <v>#DIV/0!</v>
      </c>
      <c r="K13" s="1081" t="e">
        <f>SUM(K14:K62)</f>
        <v>#DIV/0!</v>
      </c>
      <c r="L13" s="1082">
        <f>SUM(L14:L62)</f>
        <v>0</v>
      </c>
      <c r="O13" s="357">
        <f>$B$11</f>
        <v>0</v>
      </c>
      <c r="P13" s="357">
        <f>O13-1</f>
        <v>-1</v>
      </c>
      <c r="Q13" s="357">
        <f t="shared" ref="Q13:AS13" si="0">P13-1</f>
        <v>-2</v>
      </c>
      <c r="R13" s="357">
        <f t="shared" si="0"/>
        <v>-3</v>
      </c>
      <c r="S13" s="357">
        <f t="shared" si="0"/>
        <v>-4</v>
      </c>
      <c r="T13" s="357">
        <f t="shared" si="0"/>
        <v>-5</v>
      </c>
      <c r="U13" s="357">
        <f t="shared" si="0"/>
        <v>-6</v>
      </c>
      <c r="V13" s="357">
        <f t="shared" si="0"/>
        <v>-7</v>
      </c>
      <c r="W13" s="357">
        <f t="shared" si="0"/>
        <v>-8</v>
      </c>
      <c r="X13" s="357">
        <f t="shared" si="0"/>
        <v>-9</v>
      </c>
      <c r="Y13" s="357">
        <f t="shared" si="0"/>
        <v>-10</v>
      </c>
      <c r="Z13" s="357">
        <f t="shared" si="0"/>
        <v>-11</v>
      </c>
      <c r="AA13" s="357">
        <f t="shared" si="0"/>
        <v>-12</v>
      </c>
      <c r="AB13" s="357">
        <f t="shared" si="0"/>
        <v>-13</v>
      </c>
      <c r="AC13" s="357">
        <f t="shared" si="0"/>
        <v>-14</v>
      </c>
      <c r="AD13" s="357">
        <f t="shared" si="0"/>
        <v>-15</v>
      </c>
      <c r="AE13" s="357">
        <f t="shared" si="0"/>
        <v>-16</v>
      </c>
      <c r="AF13" s="357">
        <f t="shared" si="0"/>
        <v>-17</v>
      </c>
      <c r="AG13" s="357">
        <f t="shared" si="0"/>
        <v>-18</v>
      </c>
      <c r="AH13" s="357">
        <f t="shared" si="0"/>
        <v>-19</v>
      </c>
      <c r="AI13" s="357">
        <f t="shared" si="0"/>
        <v>-20</v>
      </c>
      <c r="AJ13" s="357">
        <f t="shared" si="0"/>
        <v>-21</v>
      </c>
      <c r="AK13" s="357">
        <f t="shared" si="0"/>
        <v>-22</v>
      </c>
      <c r="AL13" s="357">
        <f t="shared" si="0"/>
        <v>-23</v>
      </c>
      <c r="AM13" s="357">
        <f t="shared" si="0"/>
        <v>-24</v>
      </c>
      <c r="AN13" s="357">
        <f t="shared" si="0"/>
        <v>-25</v>
      </c>
      <c r="AO13" s="357">
        <f t="shared" si="0"/>
        <v>-26</v>
      </c>
      <c r="AP13" s="357">
        <f t="shared" si="0"/>
        <v>-27</v>
      </c>
      <c r="AQ13" s="357">
        <f t="shared" si="0"/>
        <v>-28</v>
      </c>
      <c r="AR13" s="357">
        <f t="shared" si="0"/>
        <v>-29</v>
      </c>
      <c r="AS13" s="357">
        <f t="shared" si="0"/>
        <v>-30</v>
      </c>
      <c r="AT13" s="357">
        <f t="shared" ref="AT13:AY13" si="1">AS13-1</f>
        <v>-31</v>
      </c>
      <c r="AU13" s="357">
        <f t="shared" si="1"/>
        <v>-32</v>
      </c>
      <c r="AV13" s="357">
        <f t="shared" si="1"/>
        <v>-33</v>
      </c>
      <c r="AW13" s="357">
        <f t="shared" si="1"/>
        <v>-34</v>
      </c>
      <c r="AX13" s="357">
        <f t="shared" si="1"/>
        <v>-35</v>
      </c>
      <c r="AY13" s="357">
        <f t="shared" si="1"/>
        <v>-36</v>
      </c>
      <c r="AZ13" s="357">
        <f t="shared" ref="AZ13:BB13" si="2">AY13-1</f>
        <v>-37</v>
      </c>
      <c r="BA13" s="357">
        <f t="shared" si="2"/>
        <v>-38</v>
      </c>
      <c r="BB13" s="357">
        <f t="shared" si="2"/>
        <v>-39</v>
      </c>
      <c r="BC13" s="344">
        <v>1</v>
      </c>
    </row>
    <row r="14" spans="1:75" x14ac:dyDescent="0.25">
      <c r="A14" s="1894"/>
      <c r="B14" s="1895"/>
      <c r="C14" s="2028"/>
      <c r="D14" s="1897"/>
      <c r="E14" s="1897"/>
      <c r="F14" s="1897"/>
      <c r="G14" s="358" t="str">
        <f>IF(B14-1&lt;0," ",B14-1)</f>
        <v xml:space="preserve"> </v>
      </c>
      <c r="H14" s="1031">
        <f t="shared" ref="H14" si="3">C14+F14</f>
        <v>0</v>
      </c>
      <c r="I14" s="356" t="e">
        <f t="shared" ref="I14:I45" si="4">HLOOKUP($B$11,$O$13:$BB$116,BC14,FALSE)</f>
        <v>#DIV/0!</v>
      </c>
      <c r="J14" s="5" t="e">
        <f t="shared" ref="J14" si="5">SUM(O14:BB14)</f>
        <v>#DIV/0!</v>
      </c>
      <c r="K14" s="35" t="e">
        <f t="shared" ref="K14:K45" si="6">IF(C14&gt;$B$11,0,D14-J14)</f>
        <v>#DIV/0!</v>
      </c>
      <c r="L14" s="1032">
        <f t="shared" ref="L14:L45" si="7">IF(((D14-E14)*(1-(0.05*($B$11-C14))))&lt;0,0,((D14-E14)*(1-(0.05*($B$11-C14)))))</f>
        <v>0</v>
      </c>
      <c r="M14" s="1"/>
      <c r="N14" s="1"/>
      <c r="O14" s="356" t="e">
        <f>IF($H14=O$13,(($B14-1)/12)*SLN($D14,$E14,$F14),IF($C14=O$13,((12-$G14)/12)*SLN($D14,$E14,$F14),IF(AND(O$13&gt;$C14,O$13&lt;$H14),SLN($D14,$E14,$F14),0)))</f>
        <v>#DIV/0!</v>
      </c>
      <c r="P14" s="356">
        <f t="shared" ref="P14:BB20" si="8">IF($H14=P$13,(($B14-1)/12)*SLN($D14,$E14,$F14),IF($C14=P$13,((12-$G14)/12)*SLN($D14,$E14,$F14),IF(AND(P$13&gt;$C14,P$13&lt;$H14),SLN($D14,$E14,$F14),0)))</f>
        <v>0</v>
      </c>
      <c r="Q14" s="356">
        <f t="shared" si="8"/>
        <v>0</v>
      </c>
      <c r="R14" s="356">
        <f t="shared" si="8"/>
        <v>0</v>
      </c>
      <c r="S14" s="356">
        <f t="shared" si="8"/>
        <v>0</v>
      </c>
      <c r="T14" s="356">
        <f t="shared" si="8"/>
        <v>0</v>
      </c>
      <c r="U14" s="356">
        <f t="shared" si="8"/>
        <v>0</v>
      </c>
      <c r="V14" s="356">
        <f t="shared" si="8"/>
        <v>0</v>
      </c>
      <c r="W14" s="356">
        <f t="shared" si="8"/>
        <v>0</v>
      </c>
      <c r="X14" s="356">
        <f t="shared" si="8"/>
        <v>0</v>
      </c>
      <c r="Y14" s="356">
        <f t="shared" si="8"/>
        <v>0</v>
      </c>
      <c r="Z14" s="356">
        <f t="shared" si="8"/>
        <v>0</v>
      </c>
      <c r="AA14" s="356">
        <f t="shared" si="8"/>
        <v>0</v>
      </c>
      <c r="AB14" s="356">
        <f t="shared" si="8"/>
        <v>0</v>
      </c>
      <c r="AC14" s="356">
        <f t="shared" si="8"/>
        <v>0</v>
      </c>
      <c r="AD14" s="356">
        <f t="shared" si="8"/>
        <v>0</v>
      </c>
      <c r="AE14" s="356">
        <f t="shared" si="8"/>
        <v>0</v>
      </c>
      <c r="AF14" s="356">
        <f t="shared" si="8"/>
        <v>0</v>
      </c>
      <c r="AG14" s="356">
        <f t="shared" si="8"/>
        <v>0</v>
      </c>
      <c r="AH14" s="356">
        <f t="shared" si="8"/>
        <v>0</v>
      </c>
      <c r="AI14" s="356">
        <f t="shared" si="8"/>
        <v>0</v>
      </c>
      <c r="AJ14" s="356">
        <f t="shared" si="8"/>
        <v>0</v>
      </c>
      <c r="AK14" s="356">
        <f t="shared" si="8"/>
        <v>0</v>
      </c>
      <c r="AL14" s="356">
        <f t="shared" si="8"/>
        <v>0</v>
      </c>
      <c r="AM14" s="356">
        <f t="shared" si="8"/>
        <v>0</v>
      </c>
      <c r="AN14" s="356">
        <f t="shared" si="8"/>
        <v>0</v>
      </c>
      <c r="AO14" s="356">
        <f t="shared" si="8"/>
        <v>0</v>
      </c>
      <c r="AP14" s="356">
        <f t="shared" si="8"/>
        <v>0</v>
      </c>
      <c r="AQ14" s="356">
        <f t="shared" si="8"/>
        <v>0</v>
      </c>
      <c r="AR14" s="356">
        <f t="shared" si="8"/>
        <v>0</v>
      </c>
      <c r="AS14" s="356">
        <f t="shared" si="8"/>
        <v>0</v>
      </c>
      <c r="AT14" s="356">
        <f t="shared" si="8"/>
        <v>0</v>
      </c>
      <c r="AU14" s="356">
        <f t="shared" si="8"/>
        <v>0</v>
      </c>
      <c r="AV14" s="356">
        <f t="shared" si="8"/>
        <v>0</v>
      </c>
      <c r="AW14" s="356">
        <f t="shared" si="8"/>
        <v>0</v>
      </c>
      <c r="AX14" s="356">
        <f t="shared" si="8"/>
        <v>0</v>
      </c>
      <c r="AY14" s="356">
        <f t="shared" si="8"/>
        <v>0</v>
      </c>
      <c r="AZ14" s="356">
        <f t="shared" si="8"/>
        <v>0</v>
      </c>
      <c r="BA14" s="356">
        <f t="shared" si="8"/>
        <v>0</v>
      </c>
      <c r="BB14" s="356">
        <f t="shared" si="8"/>
        <v>0</v>
      </c>
      <c r="BC14" s="344">
        <v>2</v>
      </c>
    </row>
    <row r="15" spans="1:75" x14ac:dyDescent="0.25">
      <c r="A15" s="1894"/>
      <c r="B15" s="1895"/>
      <c r="C15" s="2028"/>
      <c r="D15" s="1897"/>
      <c r="E15" s="1897"/>
      <c r="F15" s="1897"/>
      <c r="G15" s="358" t="str">
        <f t="shared" ref="G15:G25" si="9">IF(B15-1&lt;0," ",B15-1)</f>
        <v xml:space="preserve"> </v>
      </c>
      <c r="H15" s="1031">
        <f t="shared" ref="H15:H25" si="10">C15+F15</f>
        <v>0</v>
      </c>
      <c r="I15" s="356" t="e">
        <f t="shared" si="4"/>
        <v>#DIV/0!</v>
      </c>
      <c r="J15" s="5" t="e">
        <f t="shared" ref="J15:J25" si="11">SUM(O15:BB15)</f>
        <v>#DIV/0!</v>
      </c>
      <c r="K15" s="35" t="e">
        <f t="shared" si="6"/>
        <v>#DIV/0!</v>
      </c>
      <c r="L15" s="1032">
        <f t="shared" si="7"/>
        <v>0</v>
      </c>
      <c r="M15" s="1"/>
      <c r="N15" s="1"/>
      <c r="O15" s="356" t="e">
        <f t="shared" ref="O15:AD36" si="12">IF($H15=O$13,(($B15-1)/12)*SLN($D15,$E15,$F15),IF($C15=O$13,((12-$G15)/12)*SLN($D15,$E15,$F15),IF(AND(O$13&gt;$C15,O$13&lt;$H15),SLN($D15,$E15,$F15),0)))</f>
        <v>#DIV/0!</v>
      </c>
      <c r="P15" s="356">
        <f t="shared" si="8"/>
        <v>0</v>
      </c>
      <c r="Q15" s="356">
        <f t="shared" si="8"/>
        <v>0</v>
      </c>
      <c r="R15" s="356">
        <f t="shared" si="8"/>
        <v>0</v>
      </c>
      <c r="S15" s="356">
        <f t="shared" si="8"/>
        <v>0</v>
      </c>
      <c r="T15" s="356">
        <f t="shared" si="8"/>
        <v>0</v>
      </c>
      <c r="U15" s="356">
        <f t="shared" si="8"/>
        <v>0</v>
      </c>
      <c r="V15" s="356">
        <f t="shared" si="8"/>
        <v>0</v>
      </c>
      <c r="W15" s="356">
        <f t="shared" si="8"/>
        <v>0</v>
      </c>
      <c r="X15" s="356">
        <f t="shared" si="8"/>
        <v>0</v>
      </c>
      <c r="Y15" s="356">
        <f t="shared" si="8"/>
        <v>0</v>
      </c>
      <c r="Z15" s="356">
        <f t="shared" si="8"/>
        <v>0</v>
      </c>
      <c r="AA15" s="356">
        <f t="shared" si="8"/>
        <v>0</v>
      </c>
      <c r="AB15" s="356">
        <f t="shared" si="8"/>
        <v>0</v>
      </c>
      <c r="AC15" s="356">
        <f t="shared" si="8"/>
        <v>0</v>
      </c>
      <c r="AD15" s="356">
        <f t="shared" si="8"/>
        <v>0</v>
      </c>
      <c r="AE15" s="356">
        <f t="shared" si="8"/>
        <v>0</v>
      </c>
      <c r="AF15" s="356">
        <f t="shared" si="8"/>
        <v>0</v>
      </c>
      <c r="AG15" s="356">
        <f t="shared" si="8"/>
        <v>0</v>
      </c>
      <c r="AH15" s="356">
        <f t="shared" si="8"/>
        <v>0</v>
      </c>
      <c r="AI15" s="356">
        <f t="shared" si="8"/>
        <v>0</v>
      </c>
      <c r="AJ15" s="356">
        <f t="shared" si="8"/>
        <v>0</v>
      </c>
      <c r="AK15" s="356">
        <f t="shared" si="8"/>
        <v>0</v>
      </c>
      <c r="AL15" s="356">
        <f t="shared" si="8"/>
        <v>0</v>
      </c>
      <c r="AM15" s="356">
        <f t="shared" si="8"/>
        <v>0</v>
      </c>
      <c r="AN15" s="356">
        <f t="shared" si="8"/>
        <v>0</v>
      </c>
      <c r="AO15" s="356">
        <f t="shared" si="8"/>
        <v>0</v>
      </c>
      <c r="AP15" s="356">
        <f t="shared" si="8"/>
        <v>0</v>
      </c>
      <c r="AQ15" s="356">
        <f t="shared" si="8"/>
        <v>0</v>
      </c>
      <c r="AR15" s="356">
        <f t="shared" si="8"/>
        <v>0</v>
      </c>
      <c r="AS15" s="356">
        <f t="shared" si="8"/>
        <v>0</v>
      </c>
      <c r="AT15" s="356">
        <f t="shared" si="8"/>
        <v>0</v>
      </c>
      <c r="AU15" s="356">
        <f t="shared" si="8"/>
        <v>0</v>
      </c>
      <c r="AV15" s="356">
        <f t="shared" si="8"/>
        <v>0</v>
      </c>
      <c r="AW15" s="356">
        <f t="shared" si="8"/>
        <v>0</v>
      </c>
      <c r="AX15" s="356">
        <f t="shared" si="8"/>
        <v>0</v>
      </c>
      <c r="AY15" s="356">
        <f t="shared" si="8"/>
        <v>0</v>
      </c>
      <c r="AZ15" s="356">
        <f t="shared" si="8"/>
        <v>0</v>
      </c>
      <c r="BA15" s="356">
        <f t="shared" si="8"/>
        <v>0</v>
      </c>
      <c r="BB15" s="356">
        <f t="shared" si="8"/>
        <v>0</v>
      </c>
      <c r="BC15" s="344">
        <v>3</v>
      </c>
      <c r="BD15" s="357"/>
      <c r="BE15" s="357"/>
      <c r="BF15" s="357"/>
      <c r="BG15" s="357"/>
      <c r="BH15" s="357"/>
      <c r="BI15" s="357"/>
      <c r="BJ15" s="357"/>
      <c r="BK15" s="357"/>
      <c r="BL15" s="357"/>
      <c r="BM15" s="357"/>
      <c r="BN15" s="357"/>
      <c r="BO15" s="357"/>
      <c r="BP15" s="357"/>
      <c r="BQ15" s="357"/>
      <c r="BR15" s="357"/>
      <c r="BS15" s="357"/>
      <c r="BT15" s="357"/>
      <c r="BU15" s="357"/>
      <c r="BV15" s="357"/>
      <c r="BW15" s="357"/>
    </row>
    <row r="16" spans="1:75" x14ac:dyDescent="0.25">
      <c r="A16" s="1894"/>
      <c r="B16" s="1895"/>
      <c r="C16" s="2028"/>
      <c r="D16" s="1897"/>
      <c r="E16" s="1897"/>
      <c r="F16" s="1897"/>
      <c r="G16" s="358" t="str">
        <f t="shared" si="9"/>
        <v xml:space="preserve"> </v>
      </c>
      <c r="H16" s="1031">
        <f t="shared" si="10"/>
        <v>0</v>
      </c>
      <c r="I16" s="356" t="e">
        <f t="shared" si="4"/>
        <v>#DIV/0!</v>
      </c>
      <c r="J16" s="5" t="e">
        <f t="shared" si="11"/>
        <v>#DIV/0!</v>
      </c>
      <c r="K16" s="35" t="e">
        <f t="shared" si="6"/>
        <v>#DIV/0!</v>
      </c>
      <c r="L16" s="1032">
        <f t="shared" si="7"/>
        <v>0</v>
      </c>
      <c r="N16" s="1"/>
      <c r="O16" s="356" t="e">
        <f t="shared" si="12"/>
        <v>#DIV/0!</v>
      </c>
      <c r="P16" s="356">
        <f t="shared" si="8"/>
        <v>0</v>
      </c>
      <c r="Q16" s="356">
        <f t="shared" si="8"/>
        <v>0</v>
      </c>
      <c r="R16" s="356">
        <f t="shared" si="8"/>
        <v>0</v>
      </c>
      <c r="S16" s="356">
        <f t="shared" si="8"/>
        <v>0</v>
      </c>
      <c r="T16" s="356">
        <f t="shared" si="8"/>
        <v>0</v>
      </c>
      <c r="U16" s="356">
        <f t="shared" si="8"/>
        <v>0</v>
      </c>
      <c r="V16" s="356">
        <f t="shared" si="8"/>
        <v>0</v>
      </c>
      <c r="W16" s="356">
        <f t="shared" si="8"/>
        <v>0</v>
      </c>
      <c r="X16" s="356">
        <f t="shared" si="8"/>
        <v>0</v>
      </c>
      <c r="Y16" s="356">
        <f t="shared" si="8"/>
        <v>0</v>
      </c>
      <c r="Z16" s="356">
        <f t="shared" si="8"/>
        <v>0</v>
      </c>
      <c r="AA16" s="356">
        <f t="shared" si="8"/>
        <v>0</v>
      </c>
      <c r="AB16" s="356">
        <f t="shared" si="8"/>
        <v>0</v>
      </c>
      <c r="AC16" s="356">
        <f t="shared" si="8"/>
        <v>0</v>
      </c>
      <c r="AD16" s="356">
        <f t="shared" si="8"/>
        <v>0</v>
      </c>
      <c r="AE16" s="356">
        <f t="shared" si="8"/>
        <v>0</v>
      </c>
      <c r="AF16" s="356">
        <f t="shared" si="8"/>
        <v>0</v>
      </c>
      <c r="AG16" s="356">
        <f t="shared" si="8"/>
        <v>0</v>
      </c>
      <c r="AH16" s="356">
        <f t="shared" si="8"/>
        <v>0</v>
      </c>
      <c r="AI16" s="356">
        <f t="shared" si="8"/>
        <v>0</v>
      </c>
      <c r="AJ16" s="356">
        <f t="shared" si="8"/>
        <v>0</v>
      </c>
      <c r="AK16" s="356">
        <f t="shared" si="8"/>
        <v>0</v>
      </c>
      <c r="AL16" s="356">
        <f t="shared" si="8"/>
        <v>0</v>
      </c>
      <c r="AM16" s="356">
        <f t="shared" si="8"/>
        <v>0</v>
      </c>
      <c r="AN16" s="356">
        <f t="shared" si="8"/>
        <v>0</v>
      </c>
      <c r="AO16" s="356">
        <f t="shared" si="8"/>
        <v>0</v>
      </c>
      <c r="AP16" s="356">
        <f t="shared" si="8"/>
        <v>0</v>
      </c>
      <c r="AQ16" s="356">
        <f t="shared" si="8"/>
        <v>0</v>
      </c>
      <c r="AR16" s="356">
        <f t="shared" si="8"/>
        <v>0</v>
      </c>
      <c r="AS16" s="356">
        <f t="shared" si="8"/>
        <v>0</v>
      </c>
      <c r="AT16" s="356">
        <f t="shared" si="8"/>
        <v>0</v>
      </c>
      <c r="AU16" s="356">
        <f t="shared" si="8"/>
        <v>0</v>
      </c>
      <c r="AV16" s="356">
        <f t="shared" si="8"/>
        <v>0</v>
      </c>
      <c r="AW16" s="356">
        <f t="shared" si="8"/>
        <v>0</v>
      </c>
      <c r="AX16" s="356">
        <f t="shared" si="8"/>
        <v>0</v>
      </c>
      <c r="AY16" s="356">
        <f t="shared" si="8"/>
        <v>0</v>
      </c>
      <c r="AZ16" s="356">
        <f t="shared" si="8"/>
        <v>0</v>
      </c>
      <c r="BA16" s="356">
        <f t="shared" si="8"/>
        <v>0</v>
      </c>
      <c r="BB16" s="356">
        <f t="shared" si="8"/>
        <v>0</v>
      </c>
      <c r="BC16" s="344">
        <v>4</v>
      </c>
    </row>
    <row r="17" spans="1:55" x14ac:dyDescent="0.25">
      <c r="A17" s="1894"/>
      <c r="B17" s="1895"/>
      <c r="C17" s="2028"/>
      <c r="D17" s="1897"/>
      <c r="E17" s="1897"/>
      <c r="F17" s="1897"/>
      <c r="G17" s="358" t="str">
        <f t="shared" si="9"/>
        <v xml:space="preserve"> </v>
      </c>
      <c r="H17" s="1031">
        <f t="shared" si="10"/>
        <v>0</v>
      </c>
      <c r="I17" s="356" t="e">
        <f t="shared" si="4"/>
        <v>#DIV/0!</v>
      </c>
      <c r="J17" s="5" t="e">
        <f t="shared" si="11"/>
        <v>#DIV/0!</v>
      </c>
      <c r="K17" s="35" t="e">
        <f t="shared" si="6"/>
        <v>#DIV/0!</v>
      </c>
      <c r="L17" s="1032">
        <f t="shared" si="7"/>
        <v>0</v>
      </c>
      <c r="N17" s="1"/>
      <c r="O17" s="356" t="e">
        <f t="shared" si="12"/>
        <v>#DIV/0!</v>
      </c>
      <c r="P17" s="356">
        <f t="shared" si="8"/>
        <v>0</v>
      </c>
      <c r="Q17" s="356">
        <f t="shared" si="8"/>
        <v>0</v>
      </c>
      <c r="R17" s="356">
        <f t="shared" si="8"/>
        <v>0</v>
      </c>
      <c r="S17" s="356">
        <f t="shared" si="8"/>
        <v>0</v>
      </c>
      <c r="T17" s="356">
        <f t="shared" si="8"/>
        <v>0</v>
      </c>
      <c r="U17" s="356">
        <f t="shared" si="8"/>
        <v>0</v>
      </c>
      <c r="V17" s="356">
        <f t="shared" si="8"/>
        <v>0</v>
      </c>
      <c r="W17" s="356">
        <f t="shared" si="8"/>
        <v>0</v>
      </c>
      <c r="X17" s="356">
        <f t="shared" si="8"/>
        <v>0</v>
      </c>
      <c r="Y17" s="356">
        <f t="shared" si="8"/>
        <v>0</v>
      </c>
      <c r="Z17" s="356">
        <f t="shared" si="8"/>
        <v>0</v>
      </c>
      <c r="AA17" s="356">
        <f t="shared" si="8"/>
        <v>0</v>
      </c>
      <c r="AB17" s="356">
        <f t="shared" si="8"/>
        <v>0</v>
      </c>
      <c r="AC17" s="356">
        <f t="shared" si="8"/>
        <v>0</v>
      </c>
      <c r="AD17" s="356">
        <f t="shared" si="8"/>
        <v>0</v>
      </c>
      <c r="AE17" s="356">
        <f t="shared" si="8"/>
        <v>0</v>
      </c>
      <c r="AF17" s="356">
        <f t="shared" si="8"/>
        <v>0</v>
      </c>
      <c r="AG17" s="356">
        <f t="shared" si="8"/>
        <v>0</v>
      </c>
      <c r="AH17" s="356">
        <f t="shared" si="8"/>
        <v>0</v>
      </c>
      <c r="AI17" s="356">
        <f t="shared" si="8"/>
        <v>0</v>
      </c>
      <c r="AJ17" s="356">
        <f t="shared" si="8"/>
        <v>0</v>
      </c>
      <c r="AK17" s="356">
        <f t="shared" si="8"/>
        <v>0</v>
      </c>
      <c r="AL17" s="356">
        <f t="shared" si="8"/>
        <v>0</v>
      </c>
      <c r="AM17" s="356">
        <f t="shared" si="8"/>
        <v>0</v>
      </c>
      <c r="AN17" s="356">
        <f t="shared" si="8"/>
        <v>0</v>
      </c>
      <c r="AO17" s="356">
        <f t="shared" si="8"/>
        <v>0</v>
      </c>
      <c r="AP17" s="356">
        <f t="shared" si="8"/>
        <v>0</v>
      </c>
      <c r="AQ17" s="356">
        <f t="shared" si="8"/>
        <v>0</v>
      </c>
      <c r="AR17" s="356">
        <f t="shared" si="8"/>
        <v>0</v>
      </c>
      <c r="AS17" s="356">
        <f t="shared" si="8"/>
        <v>0</v>
      </c>
      <c r="AT17" s="356">
        <f t="shared" si="8"/>
        <v>0</v>
      </c>
      <c r="AU17" s="356">
        <f t="shared" si="8"/>
        <v>0</v>
      </c>
      <c r="AV17" s="356">
        <f t="shared" si="8"/>
        <v>0</v>
      </c>
      <c r="AW17" s="356">
        <f t="shared" si="8"/>
        <v>0</v>
      </c>
      <c r="AX17" s="356">
        <f t="shared" si="8"/>
        <v>0</v>
      </c>
      <c r="AY17" s="356">
        <f t="shared" si="8"/>
        <v>0</v>
      </c>
      <c r="AZ17" s="356">
        <f t="shared" si="8"/>
        <v>0</v>
      </c>
      <c r="BA17" s="356">
        <f t="shared" si="8"/>
        <v>0</v>
      </c>
      <c r="BB17" s="356">
        <f t="shared" si="8"/>
        <v>0</v>
      </c>
      <c r="BC17" s="344">
        <v>5</v>
      </c>
    </row>
    <row r="18" spans="1:55" x14ac:dyDescent="0.25">
      <c r="A18" s="1895"/>
      <c r="B18" s="1895"/>
      <c r="C18" s="2028"/>
      <c r="D18" s="1897"/>
      <c r="E18" s="1897"/>
      <c r="F18" s="1897"/>
      <c r="G18" s="358" t="str">
        <f t="shared" si="9"/>
        <v xml:space="preserve"> </v>
      </c>
      <c r="H18" s="1031">
        <f t="shared" si="10"/>
        <v>0</v>
      </c>
      <c r="I18" s="356" t="e">
        <f t="shared" si="4"/>
        <v>#DIV/0!</v>
      </c>
      <c r="J18" s="5" t="e">
        <f t="shared" si="11"/>
        <v>#DIV/0!</v>
      </c>
      <c r="K18" s="35" t="e">
        <f t="shared" si="6"/>
        <v>#DIV/0!</v>
      </c>
      <c r="L18" s="1032">
        <f t="shared" si="7"/>
        <v>0</v>
      </c>
      <c r="N18" s="1"/>
      <c r="O18" s="356" t="e">
        <f t="shared" si="12"/>
        <v>#DIV/0!</v>
      </c>
      <c r="P18" s="356">
        <f t="shared" si="8"/>
        <v>0</v>
      </c>
      <c r="Q18" s="356">
        <f t="shared" si="8"/>
        <v>0</v>
      </c>
      <c r="R18" s="356">
        <f t="shared" si="8"/>
        <v>0</v>
      </c>
      <c r="S18" s="356">
        <f t="shared" si="8"/>
        <v>0</v>
      </c>
      <c r="T18" s="356">
        <f t="shared" si="8"/>
        <v>0</v>
      </c>
      <c r="U18" s="356">
        <f t="shared" si="8"/>
        <v>0</v>
      </c>
      <c r="V18" s="356">
        <f t="shared" si="8"/>
        <v>0</v>
      </c>
      <c r="W18" s="356">
        <f t="shared" si="8"/>
        <v>0</v>
      </c>
      <c r="X18" s="356">
        <f t="shared" si="8"/>
        <v>0</v>
      </c>
      <c r="Y18" s="356">
        <f t="shared" si="8"/>
        <v>0</v>
      </c>
      <c r="Z18" s="356">
        <f t="shared" si="8"/>
        <v>0</v>
      </c>
      <c r="AA18" s="356">
        <f t="shared" si="8"/>
        <v>0</v>
      </c>
      <c r="AB18" s="356">
        <f t="shared" si="8"/>
        <v>0</v>
      </c>
      <c r="AC18" s="356">
        <f t="shared" si="8"/>
        <v>0</v>
      </c>
      <c r="AD18" s="356">
        <f t="shared" si="8"/>
        <v>0</v>
      </c>
      <c r="AE18" s="356">
        <f t="shared" si="8"/>
        <v>0</v>
      </c>
      <c r="AF18" s="356">
        <f t="shared" si="8"/>
        <v>0</v>
      </c>
      <c r="AG18" s="356">
        <f t="shared" si="8"/>
        <v>0</v>
      </c>
      <c r="AH18" s="356">
        <f t="shared" si="8"/>
        <v>0</v>
      </c>
      <c r="AI18" s="356">
        <f t="shared" si="8"/>
        <v>0</v>
      </c>
      <c r="AJ18" s="356">
        <f t="shared" si="8"/>
        <v>0</v>
      </c>
      <c r="AK18" s="356">
        <f t="shared" si="8"/>
        <v>0</v>
      </c>
      <c r="AL18" s="356">
        <f t="shared" si="8"/>
        <v>0</v>
      </c>
      <c r="AM18" s="356">
        <f t="shared" si="8"/>
        <v>0</v>
      </c>
      <c r="AN18" s="356">
        <f t="shared" si="8"/>
        <v>0</v>
      </c>
      <c r="AO18" s="356">
        <f t="shared" si="8"/>
        <v>0</v>
      </c>
      <c r="AP18" s="356">
        <f t="shared" si="8"/>
        <v>0</v>
      </c>
      <c r="AQ18" s="356">
        <f t="shared" si="8"/>
        <v>0</v>
      </c>
      <c r="AR18" s="356">
        <f t="shared" si="8"/>
        <v>0</v>
      </c>
      <c r="AS18" s="356">
        <f t="shared" si="8"/>
        <v>0</v>
      </c>
      <c r="AT18" s="356">
        <f t="shared" si="8"/>
        <v>0</v>
      </c>
      <c r="AU18" s="356">
        <f t="shared" si="8"/>
        <v>0</v>
      </c>
      <c r="AV18" s="356">
        <f t="shared" si="8"/>
        <v>0</v>
      </c>
      <c r="AW18" s="356">
        <f t="shared" si="8"/>
        <v>0</v>
      </c>
      <c r="AX18" s="356">
        <f t="shared" si="8"/>
        <v>0</v>
      </c>
      <c r="AY18" s="356">
        <f t="shared" si="8"/>
        <v>0</v>
      </c>
      <c r="AZ18" s="356">
        <f t="shared" si="8"/>
        <v>0</v>
      </c>
      <c r="BA18" s="356">
        <f t="shared" si="8"/>
        <v>0</v>
      </c>
      <c r="BB18" s="356">
        <f t="shared" si="8"/>
        <v>0</v>
      </c>
      <c r="BC18" s="344">
        <v>6</v>
      </c>
    </row>
    <row r="19" spans="1:55" x14ac:dyDescent="0.25">
      <c r="A19" s="1895"/>
      <c r="B19" s="1895"/>
      <c r="C19" s="2028"/>
      <c r="D19" s="1897"/>
      <c r="E19" s="1897"/>
      <c r="F19" s="1897"/>
      <c r="G19" s="358" t="str">
        <f t="shared" si="9"/>
        <v xml:space="preserve"> </v>
      </c>
      <c r="H19" s="1031">
        <f t="shared" si="10"/>
        <v>0</v>
      </c>
      <c r="I19" s="356" t="e">
        <f t="shared" si="4"/>
        <v>#DIV/0!</v>
      </c>
      <c r="J19" s="5" t="e">
        <f t="shared" si="11"/>
        <v>#DIV/0!</v>
      </c>
      <c r="K19" s="35" t="e">
        <f t="shared" si="6"/>
        <v>#DIV/0!</v>
      </c>
      <c r="L19" s="1032">
        <f t="shared" si="7"/>
        <v>0</v>
      </c>
      <c r="M19" s="1"/>
      <c r="N19" s="1"/>
      <c r="O19" s="356" t="e">
        <f t="shared" si="12"/>
        <v>#DIV/0!</v>
      </c>
      <c r="P19" s="356">
        <f t="shared" si="8"/>
        <v>0</v>
      </c>
      <c r="Q19" s="356">
        <f t="shared" si="8"/>
        <v>0</v>
      </c>
      <c r="R19" s="356">
        <f t="shared" si="8"/>
        <v>0</v>
      </c>
      <c r="S19" s="356">
        <f t="shared" si="8"/>
        <v>0</v>
      </c>
      <c r="T19" s="356">
        <f t="shared" si="8"/>
        <v>0</v>
      </c>
      <c r="U19" s="356">
        <f t="shared" si="8"/>
        <v>0</v>
      </c>
      <c r="V19" s="356">
        <f t="shared" si="8"/>
        <v>0</v>
      </c>
      <c r="W19" s="356">
        <f t="shared" si="8"/>
        <v>0</v>
      </c>
      <c r="X19" s="356">
        <f t="shared" si="8"/>
        <v>0</v>
      </c>
      <c r="Y19" s="356">
        <f t="shared" si="8"/>
        <v>0</v>
      </c>
      <c r="Z19" s="356">
        <f t="shared" si="8"/>
        <v>0</v>
      </c>
      <c r="AA19" s="356">
        <f t="shared" si="8"/>
        <v>0</v>
      </c>
      <c r="AB19" s="356">
        <f t="shared" si="8"/>
        <v>0</v>
      </c>
      <c r="AC19" s="356">
        <f t="shared" si="8"/>
        <v>0</v>
      </c>
      <c r="AD19" s="356">
        <f t="shared" si="8"/>
        <v>0</v>
      </c>
      <c r="AE19" s="356">
        <f t="shared" si="8"/>
        <v>0</v>
      </c>
      <c r="AF19" s="356">
        <f t="shared" si="8"/>
        <v>0</v>
      </c>
      <c r="AG19" s="356">
        <f t="shared" si="8"/>
        <v>0</v>
      </c>
      <c r="AH19" s="356">
        <f t="shared" si="8"/>
        <v>0</v>
      </c>
      <c r="AI19" s="356">
        <f t="shared" si="8"/>
        <v>0</v>
      </c>
      <c r="AJ19" s="356">
        <f t="shared" si="8"/>
        <v>0</v>
      </c>
      <c r="AK19" s="356">
        <f t="shared" si="8"/>
        <v>0</v>
      </c>
      <c r="AL19" s="356">
        <f t="shared" si="8"/>
        <v>0</v>
      </c>
      <c r="AM19" s="356">
        <f t="shared" si="8"/>
        <v>0</v>
      </c>
      <c r="AN19" s="356">
        <f t="shared" si="8"/>
        <v>0</v>
      </c>
      <c r="AO19" s="356">
        <f t="shared" si="8"/>
        <v>0</v>
      </c>
      <c r="AP19" s="356">
        <f t="shared" si="8"/>
        <v>0</v>
      </c>
      <c r="AQ19" s="356">
        <f t="shared" si="8"/>
        <v>0</v>
      </c>
      <c r="AR19" s="356">
        <f t="shared" si="8"/>
        <v>0</v>
      </c>
      <c r="AS19" s="356">
        <f t="shared" si="8"/>
        <v>0</v>
      </c>
      <c r="AT19" s="356">
        <f t="shared" si="8"/>
        <v>0</v>
      </c>
      <c r="AU19" s="356">
        <f t="shared" si="8"/>
        <v>0</v>
      </c>
      <c r="AV19" s="356">
        <f t="shared" si="8"/>
        <v>0</v>
      </c>
      <c r="AW19" s="356">
        <f t="shared" si="8"/>
        <v>0</v>
      </c>
      <c r="AX19" s="356">
        <f t="shared" si="8"/>
        <v>0</v>
      </c>
      <c r="AY19" s="356">
        <f t="shared" si="8"/>
        <v>0</v>
      </c>
      <c r="AZ19" s="356">
        <f t="shared" si="8"/>
        <v>0</v>
      </c>
      <c r="BA19" s="356">
        <f t="shared" si="8"/>
        <v>0</v>
      </c>
      <c r="BB19" s="356">
        <f t="shared" si="8"/>
        <v>0</v>
      </c>
      <c r="BC19" s="344">
        <v>7</v>
      </c>
    </row>
    <row r="20" spans="1:55" x14ac:dyDescent="0.25">
      <c r="A20" s="1895"/>
      <c r="B20" s="1895"/>
      <c r="C20" s="2028"/>
      <c r="D20" s="1897"/>
      <c r="E20" s="1897"/>
      <c r="F20" s="1897"/>
      <c r="G20" s="358" t="str">
        <f t="shared" si="9"/>
        <v xml:space="preserve"> </v>
      </c>
      <c r="H20" s="1031">
        <f t="shared" si="10"/>
        <v>0</v>
      </c>
      <c r="I20" s="356" t="e">
        <f t="shared" si="4"/>
        <v>#DIV/0!</v>
      </c>
      <c r="J20" s="5" t="e">
        <f t="shared" si="11"/>
        <v>#DIV/0!</v>
      </c>
      <c r="K20" s="35" t="e">
        <f t="shared" si="6"/>
        <v>#DIV/0!</v>
      </c>
      <c r="L20" s="1032">
        <f t="shared" si="7"/>
        <v>0</v>
      </c>
      <c r="M20" s="1"/>
      <c r="N20" s="1"/>
      <c r="O20" s="356" t="e">
        <f t="shared" si="12"/>
        <v>#DIV/0!</v>
      </c>
      <c r="P20" s="356">
        <f t="shared" si="8"/>
        <v>0</v>
      </c>
      <c r="Q20" s="356">
        <f t="shared" si="8"/>
        <v>0</v>
      </c>
      <c r="R20" s="356">
        <f t="shared" si="8"/>
        <v>0</v>
      </c>
      <c r="S20" s="356">
        <f t="shared" si="8"/>
        <v>0</v>
      </c>
      <c r="T20" s="356">
        <f t="shared" si="8"/>
        <v>0</v>
      </c>
      <c r="U20" s="356">
        <f t="shared" si="8"/>
        <v>0</v>
      </c>
      <c r="V20" s="356">
        <f t="shared" si="8"/>
        <v>0</v>
      </c>
      <c r="W20" s="356">
        <f t="shared" si="8"/>
        <v>0</v>
      </c>
      <c r="X20" s="356">
        <f t="shared" si="8"/>
        <v>0</v>
      </c>
      <c r="Y20" s="356">
        <f t="shared" si="8"/>
        <v>0</v>
      </c>
      <c r="Z20" s="356">
        <f t="shared" si="8"/>
        <v>0</v>
      </c>
      <c r="AA20" s="356">
        <f t="shared" si="8"/>
        <v>0</v>
      </c>
      <c r="AB20" s="356">
        <f t="shared" si="8"/>
        <v>0</v>
      </c>
      <c r="AC20" s="356">
        <f t="shared" si="8"/>
        <v>0</v>
      </c>
      <c r="AD20" s="356">
        <f t="shared" si="8"/>
        <v>0</v>
      </c>
      <c r="AE20" s="356">
        <f t="shared" si="8"/>
        <v>0</v>
      </c>
      <c r="AF20" s="356">
        <f t="shared" si="8"/>
        <v>0</v>
      </c>
      <c r="AG20" s="356">
        <f t="shared" si="8"/>
        <v>0</v>
      </c>
      <c r="AH20" s="356">
        <f t="shared" si="8"/>
        <v>0</v>
      </c>
      <c r="AI20" s="356">
        <f t="shared" si="8"/>
        <v>0</v>
      </c>
      <c r="AJ20" s="356">
        <f t="shared" si="8"/>
        <v>0</v>
      </c>
      <c r="AK20" s="356">
        <f t="shared" ref="AK20:AZ37" si="13">IF($H20=AK$13,(($B20-1)/12)*SLN($D20,$E20,$F20),IF($C20=AK$13,((12-$G20)/12)*SLN($D20,$E20,$F20),IF(AND(AK$13&gt;$C20,AK$13&lt;$H20),SLN($D20,$E20,$F20),0)))</f>
        <v>0</v>
      </c>
      <c r="AL20" s="356">
        <f t="shared" si="13"/>
        <v>0</v>
      </c>
      <c r="AM20" s="356">
        <f t="shared" si="13"/>
        <v>0</v>
      </c>
      <c r="AN20" s="356">
        <f t="shared" si="13"/>
        <v>0</v>
      </c>
      <c r="AO20" s="356">
        <f t="shared" si="13"/>
        <v>0</v>
      </c>
      <c r="AP20" s="356">
        <f t="shared" si="13"/>
        <v>0</v>
      </c>
      <c r="AQ20" s="356">
        <f t="shared" si="13"/>
        <v>0</v>
      </c>
      <c r="AR20" s="356">
        <f t="shared" si="13"/>
        <v>0</v>
      </c>
      <c r="AS20" s="356">
        <f t="shared" si="13"/>
        <v>0</v>
      </c>
      <c r="AT20" s="356">
        <f t="shared" si="13"/>
        <v>0</v>
      </c>
      <c r="AU20" s="356">
        <f t="shared" si="13"/>
        <v>0</v>
      </c>
      <c r="AV20" s="356">
        <f t="shared" si="13"/>
        <v>0</v>
      </c>
      <c r="AW20" s="356">
        <f t="shared" si="13"/>
        <v>0</v>
      </c>
      <c r="AX20" s="356">
        <f t="shared" si="13"/>
        <v>0</v>
      </c>
      <c r="AY20" s="356">
        <f t="shared" si="13"/>
        <v>0</v>
      </c>
      <c r="AZ20" s="356">
        <f t="shared" si="13"/>
        <v>0</v>
      </c>
      <c r="BA20" s="356">
        <f t="shared" ref="BA20:BB37" si="14">IF($H20=BA$13,(($B20-1)/12)*SLN($D20,$E20,$F20),IF($C20=BA$13,((12-$G20)/12)*SLN($D20,$E20,$F20),IF(AND(BA$13&gt;$C20,BA$13&lt;$H20),SLN($D20,$E20,$F20),0)))</f>
        <v>0</v>
      </c>
      <c r="BB20" s="356">
        <f t="shared" si="14"/>
        <v>0</v>
      </c>
      <c r="BC20" s="344">
        <v>8</v>
      </c>
    </row>
    <row r="21" spans="1:55" x14ac:dyDescent="0.25">
      <c r="A21" s="1895"/>
      <c r="B21" s="1895"/>
      <c r="C21" s="2028"/>
      <c r="D21" s="1897"/>
      <c r="E21" s="1897"/>
      <c r="F21" s="1897"/>
      <c r="G21" s="358" t="str">
        <f t="shared" si="9"/>
        <v xml:space="preserve"> </v>
      </c>
      <c r="H21" s="1031">
        <f t="shared" si="10"/>
        <v>0</v>
      </c>
      <c r="I21" s="356" t="e">
        <f t="shared" si="4"/>
        <v>#DIV/0!</v>
      </c>
      <c r="J21" s="5" t="e">
        <f t="shared" si="11"/>
        <v>#DIV/0!</v>
      </c>
      <c r="K21" s="35" t="e">
        <f t="shared" si="6"/>
        <v>#DIV/0!</v>
      </c>
      <c r="L21" s="1032">
        <f t="shared" si="7"/>
        <v>0</v>
      </c>
      <c r="O21" s="356" t="e">
        <f t="shared" si="12"/>
        <v>#DIV/0!</v>
      </c>
      <c r="P21" s="356">
        <f t="shared" si="12"/>
        <v>0</v>
      </c>
      <c r="Q21" s="356">
        <f t="shared" si="12"/>
        <v>0</v>
      </c>
      <c r="R21" s="356">
        <f t="shared" si="12"/>
        <v>0</v>
      </c>
      <c r="S21" s="356">
        <f t="shared" si="12"/>
        <v>0</v>
      </c>
      <c r="T21" s="356">
        <f t="shared" si="12"/>
        <v>0</v>
      </c>
      <c r="U21" s="356">
        <f t="shared" si="12"/>
        <v>0</v>
      </c>
      <c r="V21" s="356">
        <f t="shared" si="12"/>
        <v>0</v>
      </c>
      <c r="W21" s="356">
        <f t="shared" si="12"/>
        <v>0</v>
      </c>
      <c r="X21" s="356">
        <f t="shared" si="12"/>
        <v>0</v>
      </c>
      <c r="Y21" s="356">
        <f t="shared" si="12"/>
        <v>0</v>
      </c>
      <c r="Z21" s="356">
        <f t="shared" si="12"/>
        <v>0</v>
      </c>
      <c r="AA21" s="356">
        <f t="shared" si="12"/>
        <v>0</v>
      </c>
      <c r="AB21" s="356">
        <f t="shared" si="12"/>
        <v>0</v>
      </c>
      <c r="AC21" s="356">
        <f t="shared" si="12"/>
        <v>0</v>
      </c>
      <c r="AD21" s="356">
        <f t="shared" si="12"/>
        <v>0</v>
      </c>
      <c r="AE21" s="356">
        <f t="shared" ref="AE21:AT38" si="15">IF($H21=AE$13,(($B21-1)/12)*SLN($D21,$E21,$F21),IF($C21=AE$13,((12-$G21)/12)*SLN($D21,$E21,$F21),IF(AND(AE$13&gt;$C21,AE$13&lt;$H21),SLN($D21,$E21,$F21),0)))</f>
        <v>0</v>
      </c>
      <c r="AF21" s="356">
        <f t="shared" si="15"/>
        <v>0</v>
      </c>
      <c r="AG21" s="356">
        <f t="shared" si="15"/>
        <v>0</v>
      </c>
      <c r="AH21" s="356">
        <f t="shared" si="15"/>
        <v>0</v>
      </c>
      <c r="AI21" s="356">
        <f t="shared" si="15"/>
        <v>0</v>
      </c>
      <c r="AJ21" s="356">
        <f t="shared" si="15"/>
        <v>0</v>
      </c>
      <c r="AK21" s="356">
        <f t="shared" si="15"/>
        <v>0</v>
      </c>
      <c r="AL21" s="356">
        <f t="shared" si="15"/>
        <v>0</v>
      </c>
      <c r="AM21" s="356">
        <f t="shared" si="15"/>
        <v>0</v>
      </c>
      <c r="AN21" s="356">
        <f t="shared" si="15"/>
        <v>0</v>
      </c>
      <c r="AO21" s="356">
        <f t="shared" si="15"/>
        <v>0</v>
      </c>
      <c r="AP21" s="356">
        <f t="shared" si="15"/>
        <v>0</v>
      </c>
      <c r="AQ21" s="356">
        <f t="shared" si="15"/>
        <v>0</v>
      </c>
      <c r="AR21" s="356">
        <f t="shared" si="15"/>
        <v>0</v>
      </c>
      <c r="AS21" s="356">
        <f t="shared" si="15"/>
        <v>0</v>
      </c>
      <c r="AT21" s="356">
        <f t="shared" si="15"/>
        <v>0</v>
      </c>
      <c r="AU21" s="356">
        <f t="shared" si="13"/>
        <v>0</v>
      </c>
      <c r="AV21" s="356">
        <f t="shared" si="13"/>
        <v>0</v>
      </c>
      <c r="AW21" s="356">
        <f t="shared" si="13"/>
        <v>0</v>
      </c>
      <c r="AX21" s="356">
        <f t="shared" si="13"/>
        <v>0</v>
      </c>
      <c r="AY21" s="356">
        <f t="shared" si="13"/>
        <v>0</v>
      </c>
      <c r="AZ21" s="356">
        <f t="shared" si="13"/>
        <v>0</v>
      </c>
      <c r="BA21" s="356">
        <f t="shared" si="14"/>
        <v>0</v>
      </c>
      <c r="BB21" s="356">
        <f t="shared" si="14"/>
        <v>0</v>
      </c>
      <c r="BC21" s="344">
        <v>9</v>
      </c>
    </row>
    <row r="22" spans="1:55" x14ac:dyDescent="0.25">
      <c r="A22" s="1895"/>
      <c r="B22" s="1895"/>
      <c r="C22" s="2028"/>
      <c r="D22" s="1897"/>
      <c r="E22" s="1897"/>
      <c r="F22" s="1897"/>
      <c r="G22" s="358" t="str">
        <f t="shared" si="9"/>
        <v xml:space="preserve"> </v>
      </c>
      <c r="H22" s="1031">
        <f t="shared" si="10"/>
        <v>0</v>
      </c>
      <c r="I22" s="356" t="e">
        <f t="shared" si="4"/>
        <v>#DIV/0!</v>
      </c>
      <c r="J22" s="5" t="e">
        <f t="shared" si="11"/>
        <v>#DIV/0!</v>
      </c>
      <c r="K22" s="35" t="e">
        <f t="shared" si="6"/>
        <v>#DIV/0!</v>
      </c>
      <c r="L22" s="1032">
        <f t="shared" si="7"/>
        <v>0</v>
      </c>
      <c r="O22" s="356" t="e">
        <f t="shared" si="12"/>
        <v>#DIV/0!</v>
      </c>
      <c r="P22" s="356">
        <f t="shared" si="12"/>
        <v>0</v>
      </c>
      <c r="Q22" s="356">
        <f t="shared" si="12"/>
        <v>0</v>
      </c>
      <c r="R22" s="356">
        <f t="shared" si="12"/>
        <v>0</v>
      </c>
      <c r="S22" s="356">
        <f t="shared" si="12"/>
        <v>0</v>
      </c>
      <c r="T22" s="356">
        <f t="shared" si="12"/>
        <v>0</v>
      </c>
      <c r="U22" s="356">
        <f t="shared" si="12"/>
        <v>0</v>
      </c>
      <c r="V22" s="356">
        <f t="shared" si="12"/>
        <v>0</v>
      </c>
      <c r="W22" s="356">
        <f t="shared" si="12"/>
        <v>0</v>
      </c>
      <c r="X22" s="356">
        <f t="shared" si="12"/>
        <v>0</v>
      </c>
      <c r="Y22" s="356">
        <f t="shared" si="12"/>
        <v>0</v>
      </c>
      <c r="Z22" s="356">
        <f t="shared" si="12"/>
        <v>0</v>
      </c>
      <c r="AA22" s="356">
        <f t="shared" si="12"/>
        <v>0</v>
      </c>
      <c r="AB22" s="356">
        <f t="shared" si="12"/>
        <v>0</v>
      </c>
      <c r="AC22" s="356">
        <f t="shared" si="12"/>
        <v>0</v>
      </c>
      <c r="AD22" s="356">
        <f t="shared" si="12"/>
        <v>0</v>
      </c>
      <c r="AE22" s="356">
        <f t="shared" si="15"/>
        <v>0</v>
      </c>
      <c r="AF22" s="356">
        <f t="shared" si="15"/>
        <v>0</v>
      </c>
      <c r="AG22" s="356">
        <f t="shared" si="15"/>
        <v>0</v>
      </c>
      <c r="AH22" s="356">
        <f t="shared" si="15"/>
        <v>0</v>
      </c>
      <c r="AI22" s="356">
        <f t="shared" si="15"/>
        <v>0</v>
      </c>
      <c r="AJ22" s="356">
        <f t="shared" si="15"/>
        <v>0</v>
      </c>
      <c r="AK22" s="356">
        <f t="shared" si="15"/>
        <v>0</v>
      </c>
      <c r="AL22" s="356">
        <f t="shared" si="15"/>
        <v>0</v>
      </c>
      <c r="AM22" s="356">
        <f t="shared" si="15"/>
        <v>0</v>
      </c>
      <c r="AN22" s="356">
        <f t="shared" si="15"/>
        <v>0</v>
      </c>
      <c r="AO22" s="356">
        <f t="shared" si="15"/>
        <v>0</v>
      </c>
      <c r="AP22" s="356">
        <f t="shared" si="15"/>
        <v>0</v>
      </c>
      <c r="AQ22" s="356">
        <f t="shared" si="15"/>
        <v>0</v>
      </c>
      <c r="AR22" s="356">
        <f t="shared" si="15"/>
        <v>0</v>
      </c>
      <c r="AS22" s="356">
        <f t="shared" si="15"/>
        <v>0</v>
      </c>
      <c r="AT22" s="356">
        <f t="shared" si="15"/>
        <v>0</v>
      </c>
      <c r="AU22" s="356">
        <f t="shared" si="13"/>
        <v>0</v>
      </c>
      <c r="AV22" s="356">
        <f t="shared" si="13"/>
        <v>0</v>
      </c>
      <c r="AW22" s="356">
        <f t="shared" si="13"/>
        <v>0</v>
      </c>
      <c r="AX22" s="356">
        <f t="shared" si="13"/>
        <v>0</v>
      </c>
      <c r="AY22" s="356">
        <f t="shared" si="13"/>
        <v>0</v>
      </c>
      <c r="AZ22" s="356">
        <f t="shared" si="13"/>
        <v>0</v>
      </c>
      <c r="BA22" s="356">
        <f t="shared" si="14"/>
        <v>0</v>
      </c>
      <c r="BB22" s="356">
        <f t="shared" si="14"/>
        <v>0</v>
      </c>
      <c r="BC22" s="344">
        <v>10</v>
      </c>
    </row>
    <row r="23" spans="1:55" x14ac:dyDescent="0.25">
      <c r="A23" s="1895"/>
      <c r="B23" s="1895"/>
      <c r="C23" s="2028"/>
      <c r="D23" s="1897"/>
      <c r="E23" s="1897"/>
      <c r="F23" s="1897"/>
      <c r="G23" s="358" t="str">
        <f t="shared" si="9"/>
        <v xml:space="preserve"> </v>
      </c>
      <c r="H23" s="1031">
        <f t="shared" si="10"/>
        <v>0</v>
      </c>
      <c r="I23" s="356" t="e">
        <f t="shared" si="4"/>
        <v>#DIV/0!</v>
      </c>
      <c r="J23" s="5" t="e">
        <f t="shared" si="11"/>
        <v>#DIV/0!</v>
      </c>
      <c r="K23" s="35" t="e">
        <f t="shared" si="6"/>
        <v>#DIV/0!</v>
      </c>
      <c r="L23" s="1032">
        <f t="shared" si="7"/>
        <v>0</v>
      </c>
      <c r="O23" s="356" t="e">
        <f t="shared" si="12"/>
        <v>#DIV/0!</v>
      </c>
      <c r="P23" s="356">
        <f t="shared" si="12"/>
        <v>0</v>
      </c>
      <c r="Q23" s="356">
        <f t="shared" si="12"/>
        <v>0</v>
      </c>
      <c r="R23" s="356">
        <f t="shared" si="12"/>
        <v>0</v>
      </c>
      <c r="S23" s="356">
        <f t="shared" si="12"/>
        <v>0</v>
      </c>
      <c r="T23" s="356">
        <f t="shared" si="12"/>
        <v>0</v>
      </c>
      <c r="U23" s="356">
        <f t="shared" si="12"/>
        <v>0</v>
      </c>
      <c r="V23" s="356">
        <f t="shared" si="12"/>
        <v>0</v>
      </c>
      <c r="W23" s="356">
        <f t="shared" si="12"/>
        <v>0</v>
      </c>
      <c r="X23" s="356">
        <f t="shared" si="12"/>
        <v>0</v>
      </c>
      <c r="Y23" s="356">
        <f t="shared" si="12"/>
        <v>0</v>
      </c>
      <c r="Z23" s="356">
        <f t="shared" si="12"/>
        <v>0</v>
      </c>
      <c r="AA23" s="356">
        <f t="shared" si="12"/>
        <v>0</v>
      </c>
      <c r="AB23" s="356">
        <f t="shared" si="12"/>
        <v>0</v>
      </c>
      <c r="AC23" s="356">
        <f t="shared" si="12"/>
        <v>0</v>
      </c>
      <c r="AD23" s="356">
        <f t="shared" si="12"/>
        <v>0</v>
      </c>
      <c r="AE23" s="356">
        <f t="shared" si="15"/>
        <v>0</v>
      </c>
      <c r="AF23" s="356">
        <f t="shared" si="15"/>
        <v>0</v>
      </c>
      <c r="AG23" s="356">
        <f t="shared" si="15"/>
        <v>0</v>
      </c>
      <c r="AH23" s="356">
        <f t="shared" si="15"/>
        <v>0</v>
      </c>
      <c r="AI23" s="356">
        <f t="shared" si="15"/>
        <v>0</v>
      </c>
      <c r="AJ23" s="356">
        <f t="shared" si="15"/>
        <v>0</v>
      </c>
      <c r="AK23" s="356">
        <f t="shared" si="15"/>
        <v>0</v>
      </c>
      <c r="AL23" s="356">
        <f t="shared" si="15"/>
        <v>0</v>
      </c>
      <c r="AM23" s="356">
        <f t="shared" si="15"/>
        <v>0</v>
      </c>
      <c r="AN23" s="356">
        <f t="shared" si="15"/>
        <v>0</v>
      </c>
      <c r="AO23" s="356">
        <f t="shared" si="15"/>
        <v>0</v>
      </c>
      <c r="AP23" s="356">
        <f t="shared" si="15"/>
        <v>0</v>
      </c>
      <c r="AQ23" s="356">
        <f t="shared" si="15"/>
        <v>0</v>
      </c>
      <c r="AR23" s="356">
        <f t="shared" si="15"/>
        <v>0</v>
      </c>
      <c r="AS23" s="356">
        <f t="shared" si="15"/>
        <v>0</v>
      </c>
      <c r="AT23" s="356">
        <f t="shared" si="15"/>
        <v>0</v>
      </c>
      <c r="AU23" s="356">
        <f t="shared" si="13"/>
        <v>0</v>
      </c>
      <c r="AV23" s="356">
        <f t="shared" si="13"/>
        <v>0</v>
      </c>
      <c r="AW23" s="356">
        <f t="shared" si="13"/>
        <v>0</v>
      </c>
      <c r="AX23" s="356">
        <f t="shared" si="13"/>
        <v>0</v>
      </c>
      <c r="AY23" s="356">
        <f t="shared" si="13"/>
        <v>0</v>
      </c>
      <c r="AZ23" s="356">
        <f t="shared" si="13"/>
        <v>0</v>
      </c>
      <c r="BA23" s="356">
        <f t="shared" si="14"/>
        <v>0</v>
      </c>
      <c r="BB23" s="356">
        <f t="shared" si="14"/>
        <v>0</v>
      </c>
      <c r="BC23" s="344">
        <v>11</v>
      </c>
    </row>
    <row r="24" spans="1:55" x14ac:dyDescent="0.25">
      <c r="A24" s="1895"/>
      <c r="B24" s="1895"/>
      <c r="C24" s="2028"/>
      <c r="D24" s="1897"/>
      <c r="E24" s="1897"/>
      <c r="F24" s="1897"/>
      <c r="G24" s="358" t="str">
        <f t="shared" si="9"/>
        <v xml:space="preserve"> </v>
      </c>
      <c r="H24" s="1031">
        <f t="shared" si="10"/>
        <v>0</v>
      </c>
      <c r="I24" s="356" t="e">
        <f t="shared" si="4"/>
        <v>#DIV/0!</v>
      </c>
      <c r="J24" s="5" t="e">
        <f t="shared" si="11"/>
        <v>#DIV/0!</v>
      </c>
      <c r="K24" s="35" t="e">
        <f t="shared" si="6"/>
        <v>#DIV/0!</v>
      </c>
      <c r="L24" s="1032">
        <f t="shared" si="7"/>
        <v>0</v>
      </c>
      <c r="O24" s="356" t="e">
        <f t="shared" si="12"/>
        <v>#DIV/0!</v>
      </c>
      <c r="P24" s="356">
        <f t="shared" si="12"/>
        <v>0</v>
      </c>
      <c r="Q24" s="356">
        <f t="shared" si="12"/>
        <v>0</v>
      </c>
      <c r="R24" s="356">
        <f t="shared" si="12"/>
        <v>0</v>
      </c>
      <c r="S24" s="356">
        <f t="shared" si="12"/>
        <v>0</v>
      </c>
      <c r="T24" s="356">
        <f t="shared" si="12"/>
        <v>0</v>
      </c>
      <c r="U24" s="356">
        <f t="shared" si="12"/>
        <v>0</v>
      </c>
      <c r="V24" s="356">
        <f t="shared" si="12"/>
        <v>0</v>
      </c>
      <c r="W24" s="356">
        <f t="shared" si="12"/>
        <v>0</v>
      </c>
      <c r="X24" s="356">
        <f t="shared" si="12"/>
        <v>0</v>
      </c>
      <c r="Y24" s="356">
        <f t="shared" si="12"/>
        <v>0</v>
      </c>
      <c r="Z24" s="356">
        <f t="shared" si="12"/>
        <v>0</v>
      </c>
      <c r="AA24" s="356">
        <f t="shared" si="12"/>
        <v>0</v>
      </c>
      <c r="AB24" s="356">
        <f t="shared" si="12"/>
        <v>0</v>
      </c>
      <c r="AC24" s="356">
        <f t="shared" si="12"/>
        <v>0</v>
      </c>
      <c r="AD24" s="356">
        <f t="shared" si="12"/>
        <v>0</v>
      </c>
      <c r="AE24" s="356">
        <f t="shared" si="15"/>
        <v>0</v>
      </c>
      <c r="AF24" s="356">
        <f t="shared" si="15"/>
        <v>0</v>
      </c>
      <c r="AG24" s="356">
        <f t="shared" si="15"/>
        <v>0</v>
      </c>
      <c r="AH24" s="356">
        <f t="shared" si="15"/>
        <v>0</v>
      </c>
      <c r="AI24" s="356">
        <f t="shared" si="15"/>
        <v>0</v>
      </c>
      <c r="AJ24" s="356">
        <f t="shared" si="15"/>
        <v>0</v>
      </c>
      <c r="AK24" s="356">
        <f t="shared" si="15"/>
        <v>0</v>
      </c>
      <c r="AL24" s="356">
        <f t="shared" si="15"/>
        <v>0</v>
      </c>
      <c r="AM24" s="356">
        <f t="shared" si="15"/>
        <v>0</v>
      </c>
      <c r="AN24" s="356">
        <f t="shared" si="15"/>
        <v>0</v>
      </c>
      <c r="AO24" s="356">
        <f t="shared" si="15"/>
        <v>0</v>
      </c>
      <c r="AP24" s="356">
        <f t="shared" si="15"/>
        <v>0</v>
      </c>
      <c r="AQ24" s="356">
        <f t="shared" si="15"/>
        <v>0</v>
      </c>
      <c r="AR24" s="356">
        <f t="shared" si="15"/>
        <v>0</v>
      </c>
      <c r="AS24" s="356">
        <f t="shared" si="15"/>
        <v>0</v>
      </c>
      <c r="AT24" s="356">
        <f t="shared" si="15"/>
        <v>0</v>
      </c>
      <c r="AU24" s="356">
        <f t="shared" si="13"/>
        <v>0</v>
      </c>
      <c r="AV24" s="356">
        <f t="shared" si="13"/>
        <v>0</v>
      </c>
      <c r="AW24" s="356">
        <f t="shared" si="13"/>
        <v>0</v>
      </c>
      <c r="AX24" s="356">
        <f t="shared" si="13"/>
        <v>0</v>
      </c>
      <c r="AY24" s="356">
        <f t="shared" si="13"/>
        <v>0</v>
      </c>
      <c r="AZ24" s="356">
        <f t="shared" si="13"/>
        <v>0</v>
      </c>
      <c r="BA24" s="356">
        <f t="shared" si="14"/>
        <v>0</v>
      </c>
      <c r="BB24" s="356">
        <f t="shared" si="14"/>
        <v>0</v>
      </c>
      <c r="BC24" s="344">
        <v>12</v>
      </c>
    </row>
    <row r="25" spans="1:55" x14ac:dyDescent="0.25">
      <c r="A25" s="1895"/>
      <c r="B25" s="1895"/>
      <c r="C25" s="2028"/>
      <c r="D25" s="1897"/>
      <c r="E25" s="1897"/>
      <c r="F25" s="1897"/>
      <c r="G25" s="358" t="str">
        <f t="shared" si="9"/>
        <v xml:space="preserve"> </v>
      </c>
      <c r="H25" s="1031">
        <f t="shared" si="10"/>
        <v>0</v>
      </c>
      <c r="I25" s="356" t="e">
        <f t="shared" si="4"/>
        <v>#DIV/0!</v>
      </c>
      <c r="J25" s="5" t="e">
        <f t="shared" si="11"/>
        <v>#DIV/0!</v>
      </c>
      <c r="K25" s="35" t="e">
        <f t="shared" si="6"/>
        <v>#DIV/0!</v>
      </c>
      <c r="L25" s="1032">
        <f t="shared" si="7"/>
        <v>0</v>
      </c>
      <c r="O25" s="356" t="e">
        <f t="shared" si="12"/>
        <v>#DIV/0!</v>
      </c>
      <c r="P25" s="356">
        <f t="shared" si="12"/>
        <v>0</v>
      </c>
      <c r="Q25" s="356">
        <f t="shared" si="12"/>
        <v>0</v>
      </c>
      <c r="R25" s="356">
        <f t="shared" si="12"/>
        <v>0</v>
      </c>
      <c r="S25" s="356">
        <f t="shared" si="12"/>
        <v>0</v>
      </c>
      <c r="T25" s="356">
        <f t="shared" si="12"/>
        <v>0</v>
      </c>
      <c r="U25" s="356">
        <f t="shared" si="12"/>
        <v>0</v>
      </c>
      <c r="V25" s="356">
        <f t="shared" si="12"/>
        <v>0</v>
      </c>
      <c r="W25" s="356">
        <f t="shared" si="12"/>
        <v>0</v>
      </c>
      <c r="X25" s="356">
        <f t="shared" si="12"/>
        <v>0</v>
      </c>
      <c r="Y25" s="356">
        <f t="shared" si="12"/>
        <v>0</v>
      </c>
      <c r="Z25" s="356">
        <f t="shared" si="12"/>
        <v>0</v>
      </c>
      <c r="AA25" s="356">
        <f t="shared" si="12"/>
        <v>0</v>
      </c>
      <c r="AB25" s="356">
        <f t="shared" si="12"/>
        <v>0</v>
      </c>
      <c r="AC25" s="356">
        <f t="shared" si="12"/>
        <v>0</v>
      </c>
      <c r="AD25" s="356">
        <f t="shared" si="12"/>
        <v>0</v>
      </c>
      <c r="AE25" s="356">
        <f t="shared" si="15"/>
        <v>0</v>
      </c>
      <c r="AF25" s="356">
        <f t="shared" si="15"/>
        <v>0</v>
      </c>
      <c r="AG25" s="356">
        <f t="shared" si="15"/>
        <v>0</v>
      </c>
      <c r="AH25" s="356">
        <f t="shared" si="15"/>
        <v>0</v>
      </c>
      <c r="AI25" s="356">
        <f t="shared" si="15"/>
        <v>0</v>
      </c>
      <c r="AJ25" s="356">
        <f t="shared" si="15"/>
        <v>0</v>
      </c>
      <c r="AK25" s="356">
        <f t="shared" si="15"/>
        <v>0</v>
      </c>
      <c r="AL25" s="356">
        <f t="shared" si="15"/>
        <v>0</v>
      </c>
      <c r="AM25" s="356">
        <f t="shared" si="15"/>
        <v>0</v>
      </c>
      <c r="AN25" s="356">
        <f t="shared" si="15"/>
        <v>0</v>
      </c>
      <c r="AO25" s="356">
        <f t="shared" si="15"/>
        <v>0</v>
      </c>
      <c r="AP25" s="356">
        <f t="shared" si="15"/>
        <v>0</v>
      </c>
      <c r="AQ25" s="356">
        <f t="shared" si="15"/>
        <v>0</v>
      </c>
      <c r="AR25" s="356">
        <f t="shared" si="15"/>
        <v>0</v>
      </c>
      <c r="AS25" s="356">
        <f t="shared" si="15"/>
        <v>0</v>
      </c>
      <c r="AT25" s="356">
        <f t="shared" si="15"/>
        <v>0</v>
      </c>
      <c r="AU25" s="356">
        <f t="shared" si="13"/>
        <v>0</v>
      </c>
      <c r="AV25" s="356">
        <f t="shared" si="13"/>
        <v>0</v>
      </c>
      <c r="AW25" s="356">
        <f t="shared" si="13"/>
        <v>0</v>
      </c>
      <c r="AX25" s="356">
        <f t="shared" si="13"/>
        <v>0</v>
      </c>
      <c r="AY25" s="356">
        <f t="shared" si="13"/>
        <v>0</v>
      </c>
      <c r="AZ25" s="356">
        <f t="shared" si="13"/>
        <v>0</v>
      </c>
      <c r="BA25" s="356">
        <f t="shared" si="14"/>
        <v>0</v>
      </c>
      <c r="BB25" s="356">
        <f t="shared" si="14"/>
        <v>0</v>
      </c>
      <c r="BC25" s="344">
        <v>13</v>
      </c>
    </row>
    <row r="26" spans="1:55" x14ac:dyDescent="0.25">
      <c r="A26" s="1895"/>
      <c r="B26" s="1895"/>
      <c r="C26" s="2028"/>
      <c r="D26" s="1897"/>
      <c r="E26" s="1897"/>
      <c r="F26" s="1897"/>
      <c r="G26" s="358" t="str">
        <f t="shared" ref="G26:G89" si="16">IF(B26-1&lt;0," ",B26-1)</f>
        <v xml:space="preserve"> </v>
      </c>
      <c r="H26" s="1031">
        <f t="shared" ref="H26:H89" si="17">C26+F26</f>
        <v>0</v>
      </c>
      <c r="I26" s="356" t="e">
        <f t="shared" si="4"/>
        <v>#DIV/0!</v>
      </c>
      <c r="J26" s="5" t="e">
        <f t="shared" ref="J26:J82" si="18">SUM(O26:BB26)</f>
        <v>#DIV/0!</v>
      </c>
      <c r="K26" s="35" t="e">
        <f t="shared" si="6"/>
        <v>#DIV/0!</v>
      </c>
      <c r="L26" s="1032">
        <f t="shared" si="7"/>
        <v>0</v>
      </c>
      <c r="O26" s="356" t="e">
        <f t="shared" si="12"/>
        <v>#DIV/0!</v>
      </c>
      <c r="P26" s="356">
        <f t="shared" si="12"/>
        <v>0</v>
      </c>
      <c r="Q26" s="356">
        <f t="shared" si="12"/>
        <v>0</v>
      </c>
      <c r="R26" s="356">
        <f t="shared" si="12"/>
        <v>0</v>
      </c>
      <c r="S26" s="356">
        <f t="shared" si="12"/>
        <v>0</v>
      </c>
      <c r="T26" s="356">
        <f t="shared" si="12"/>
        <v>0</v>
      </c>
      <c r="U26" s="356">
        <f t="shared" si="12"/>
        <v>0</v>
      </c>
      <c r="V26" s="356">
        <f t="shared" si="12"/>
        <v>0</v>
      </c>
      <c r="W26" s="356">
        <f t="shared" si="12"/>
        <v>0</v>
      </c>
      <c r="X26" s="356">
        <f t="shared" si="12"/>
        <v>0</v>
      </c>
      <c r="Y26" s="356">
        <f t="shared" si="12"/>
        <v>0</v>
      </c>
      <c r="Z26" s="356">
        <f t="shared" si="12"/>
        <v>0</v>
      </c>
      <c r="AA26" s="356">
        <f t="shared" si="12"/>
        <v>0</v>
      </c>
      <c r="AB26" s="356">
        <f t="shared" si="12"/>
        <v>0</v>
      </c>
      <c r="AC26" s="356">
        <f t="shared" si="12"/>
        <v>0</v>
      </c>
      <c r="AD26" s="356">
        <f t="shared" si="12"/>
        <v>0</v>
      </c>
      <c r="AE26" s="356">
        <f t="shared" si="15"/>
        <v>0</v>
      </c>
      <c r="AF26" s="356">
        <f t="shared" si="15"/>
        <v>0</v>
      </c>
      <c r="AG26" s="356">
        <f t="shared" si="15"/>
        <v>0</v>
      </c>
      <c r="AH26" s="356">
        <f t="shared" si="15"/>
        <v>0</v>
      </c>
      <c r="AI26" s="356">
        <f t="shared" si="15"/>
        <v>0</v>
      </c>
      <c r="AJ26" s="356">
        <f t="shared" si="15"/>
        <v>0</v>
      </c>
      <c r="AK26" s="356">
        <f t="shared" si="15"/>
        <v>0</v>
      </c>
      <c r="AL26" s="356">
        <f t="shared" si="15"/>
        <v>0</v>
      </c>
      <c r="AM26" s="356">
        <f t="shared" si="15"/>
        <v>0</v>
      </c>
      <c r="AN26" s="356">
        <f t="shared" si="15"/>
        <v>0</v>
      </c>
      <c r="AO26" s="356">
        <f t="shared" si="15"/>
        <v>0</v>
      </c>
      <c r="AP26" s="356">
        <f t="shared" si="15"/>
        <v>0</v>
      </c>
      <c r="AQ26" s="356">
        <f t="shared" si="15"/>
        <v>0</v>
      </c>
      <c r="AR26" s="356">
        <f t="shared" si="15"/>
        <v>0</v>
      </c>
      <c r="AS26" s="356">
        <f t="shared" si="15"/>
        <v>0</v>
      </c>
      <c r="AT26" s="356">
        <f t="shared" si="15"/>
        <v>0</v>
      </c>
      <c r="AU26" s="356">
        <f t="shared" si="13"/>
        <v>0</v>
      </c>
      <c r="AV26" s="356">
        <f t="shared" si="13"/>
        <v>0</v>
      </c>
      <c r="AW26" s="356">
        <f t="shared" si="13"/>
        <v>0</v>
      </c>
      <c r="AX26" s="356">
        <f t="shared" si="13"/>
        <v>0</v>
      </c>
      <c r="AY26" s="356">
        <f t="shared" si="13"/>
        <v>0</v>
      </c>
      <c r="AZ26" s="356">
        <f t="shared" si="13"/>
        <v>0</v>
      </c>
      <c r="BA26" s="356">
        <f t="shared" si="14"/>
        <v>0</v>
      </c>
      <c r="BB26" s="356">
        <f t="shared" si="14"/>
        <v>0</v>
      </c>
      <c r="BC26" s="344">
        <v>14</v>
      </c>
    </row>
    <row r="27" spans="1:55" x14ac:dyDescent="0.25">
      <c r="A27" s="1895"/>
      <c r="B27" s="1895"/>
      <c r="C27" s="2028"/>
      <c r="D27" s="1897"/>
      <c r="E27" s="1897"/>
      <c r="F27" s="1897"/>
      <c r="G27" s="358" t="str">
        <f t="shared" si="16"/>
        <v xml:space="preserve"> </v>
      </c>
      <c r="H27" s="1031">
        <f t="shared" si="17"/>
        <v>0</v>
      </c>
      <c r="I27" s="356" t="e">
        <f t="shared" si="4"/>
        <v>#DIV/0!</v>
      </c>
      <c r="J27" s="5" t="e">
        <f t="shared" si="18"/>
        <v>#DIV/0!</v>
      </c>
      <c r="K27" s="35" t="e">
        <f t="shared" si="6"/>
        <v>#DIV/0!</v>
      </c>
      <c r="L27" s="1032">
        <f t="shared" si="7"/>
        <v>0</v>
      </c>
      <c r="O27" s="356" t="e">
        <f t="shared" si="12"/>
        <v>#DIV/0!</v>
      </c>
      <c r="P27" s="356">
        <f t="shared" si="12"/>
        <v>0</v>
      </c>
      <c r="Q27" s="356">
        <f t="shared" si="12"/>
        <v>0</v>
      </c>
      <c r="R27" s="356">
        <f t="shared" si="12"/>
        <v>0</v>
      </c>
      <c r="S27" s="356">
        <f t="shared" si="12"/>
        <v>0</v>
      </c>
      <c r="T27" s="356">
        <f t="shared" si="12"/>
        <v>0</v>
      </c>
      <c r="U27" s="356">
        <f t="shared" si="12"/>
        <v>0</v>
      </c>
      <c r="V27" s="356">
        <f t="shared" si="12"/>
        <v>0</v>
      </c>
      <c r="W27" s="356">
        <f t="shared" si="12"/>
        <v>0</v>
      </c>
      <c r="X27" s="356">
        <f t="shared" si="12"/>
        <v>0</v>
      </c>
      <c r="Y27" s="356">
        <f t="shared" si="12"/>
        <v>0</v>
      </c>
      <c r="Z27" s="356">
        <f t="shared" si="12"/>
        <v>0</v>
      </c>
      <c r="AA27" s="356">
        <f t="shared" si="12"/>
        <v>0</v>
      </c>
      <c r="AB27" s="356">
        <f t="shared" si="12"/>
        <v>0</v>
      </c>
      <c r="AC27" s="356">
        <f t="shared" si="12"/>
        <v>0</v>
      </c>
      <c r="AD27" s="356">
        <f t="shared" si="12"/>
        <v>0</v>
      </c>
      <c r="AE27" s="356">
        <f t="shared" si="15"/>
        <v>0</v>
      </c>
      <c r="AF27" s="356">
        <f t="shared" si="15"/>
        <v>0</v>
      </c>
      <c r="AG27" s="356">
        <f t="shared" si="15"/>
        <v>0</v>
      </c>
      <c r="AH27" s="356">
        <f t="shared" si="15"/>
        <v>0</v>
      </c>
      <c r="AI27" s="356">
        <f t="shared" si="15"/>
        <v>0</v>
      </c>
      <c r="AJ27" s="356">
        <f t="shared" si="15"/>
        <v>0</v>
      </c>
      <c r="AK27" s="356">
        <f t="shared" si="15"/>
        <v>0</v>
      </c>
      <c r="AL27" s="356">
        <f t="shared" si="15"/>
        <v>0</v>
      </c>
      <c r="AM27" s="356">
        <f t="shared" si="15"/>
        <v>0</v>
      </c>
      <c r="AN27" s="356">
        <f t="shared" si="15"/>
        <v>0</v>
      </c>
      <c r="AO27" s="356">
        <f t="shared" si="15"/>
        <v>0</v>
      </c>
      <c r="AP27" s="356">
        <f t="shared" si="15"/>
        <v>0</v>
      </c>
      <c r="AQ27" s="356">
        <f t="shared" si="15"/>
        <v>0</v>
      </c>
      <c r="AR27" s="356">
        <f t="shared" si="15"/>
        <v>0</v>
      </c>
      <c r="AS27" s="356">
        <f t="shared" si="15"/>
        <v>0</v>
      </c>
      <c r="AT27" s="356">
        <f t="shared" si="15"/>
        <v>0</v>
      </c>
      <c r="AU27" s="356">
        <f t="shared" si="13"/>
        <v>0</v>
      </c>
      <c r="AV27" s="356">
        <f t="shared" si="13"/>
        <v>0</v>
      </c>
      <c r="AW27" s="356">
        <f t="shared" si="13"/>
        <v>0</v>
      </c>
      <c r="AX27" s="356">
        <f t="shared" si="13"/>
        <v>0</v>
      </c>
      <c r="AY27" s="356">
        <f t="shared" si="13"/>
        <v>0</v>
      </c>
      <c r="AZ27" s="356">
        <f t="shared" si="13"/>
        <v>0</v>
      </c>
      <c r="BA27" s="356">
        <f t="shared" si="14"/>
        <v>0</v>
      </c>
      <c r="BB27" s="356">
        <f t="shared" si="14"/>
        <v>0</v>
      </c>
      <c r="BC27" s="344">
        <v>15</v>
      </c>
    </row>
    <row r="28" spans="1:55" x14ac:dyDescent="0.25">
      <c r="A28" s="1895"/>
      <c r="B28" s="1895"/>
      <c r="C28" s="2028"/>
      <c r="D28" s="1897"/>
      <c r="E28" s="1897"/>
      <c r="F28" s="1897"/>
      <c r="G28" s="358" t="str">
        <f t="shared" si="16"/>
        <v xml:space="preserve"> </v>
      </c>
      <c r="H28" s="1031">
        <f t="shared" si="17"/>
        <v>0</v>
      </c>
      <c r="I28" s="356" t="e">
        <f t="shared" si="4"/>
        <v>#DIV/0!</v>
      </c>
      <c r="J28" s="5" t="e">
        <f t="shared" si="18"/>
        <v>#DIV/0!</v>
      </c>
      <c r="K28" s="35" t="e">
        <f t="shared" si="6"/>
        <v>#DIV/0!</v>
      </c>
      <c r="L28" s="1032">
        <f t="shared" si="7"/>
        <v>0</v>
      </c>
      <c r="O28" s="356" t="e">
        <f t="shared" si="12"/>
        <v>#DIV/0!</v>
      </c>
      <c r="P28" s="356">
        <f t="shared" si="12"/>
        <v>0</v>
      </c>
      <c r="Q28" s="356">
        <f t="shared" si="12"/>
        <v>0</v>
      </c>
      <c r="R28" s="356">
        <f t="shared" si="12"/>
        <v>0</v>
      </c>
      <c r="S28" s="356">
        <f t="shared" si="12"/>
        <v>0</v>
      </c>
      <c r="T28" s="356">
        <f t="shared" si="12"/>
        <v>0</v>
      </c>
      <c r="U28" s="356">
        <f t="shared" si="12"/>
        <v>0</v>
      </c>
      <c r="V28" s="356">
        <f t="shared" si="12"/>
        <v>0</v>
      </c>
      <c r="W28" s="356">
        <f t="shared" si="12"/>
        <v>0</v>
      </c>
      <c r="X28" s="356">
        <f t="shared" si="12"/>
        <v>0</v>
      </c>
      <c r="Y28" s="356">
        <f t="shared" si="12"/>
        <v>0</v>
      </c>
      <c r="Z28" s="356">
        <f t="shared" si="12"/>
        <v>0</v>
      </c>
      <c r="AA28" s="356">
        <f t="shared" si="12"/>
        <v>0</v>
      </c>
      <c r="AB28" s="356">
        <f t="shared" si="12"/>
        <v>0</v>
      </c>
      <c r="AC28" s="356">
        <f t="shared" si="12"/>
        <v>0</v>
      </c>
      <c r="AD28" s="356">
        <f t="shared" si="12"/>
        <v>0</v>
      </c>
      <c r="AE28" s="356">
        <f t="shared" si="15"/>
        <v>0</v>
      </c>
      <c r="AF28" s="356">
        <f t="shared" si="15"/>
        <v>0</v>
      </c>
      <c r="AG28" s="356">
        <f t="shared" si="15"/>
        <v>0</v>
      </c>
      <c r="AH28" s="356">
        <f t="shared" si="15"/>
        <v>0</v>
      </c>
      <c r="AI28" s="356">
        <f t="shared" si="15"/>
        <v>0</v>
      </c>
      <c r="AJ28" s="356">
        <f t="shared" si="15"/>
        <v>0</v>
      </c>
      <c r="AK28" s="356">
        <f t="shared" si="15"/>
        <v>0</v>
      </c>
      <c r="AL28" s="356">
        <f t="shared" si="15"/>
        <v>0</v>
      </c>
      <c r="AM28" s="356">
        <f t="shared" si="15"/>
        <v>0</v>
      </c>
      <c r="AN28" s="356">
        <f t="shared" si="15"/>
        <v>0</v>
      </c>
      <c r="AO28" s="356">
        <f t="shared" si="15"/>
        <v>0</v>
      </c>
      <c r="AP28" s="356">
        <f t="shared" si="15"/>
        <v>0</v>
      </c>
      <c r="AQ28" s="356">
        <f t="shared" si="15"/>
        <v>0</v>
      </c>
      <c r="AR28" s="356">
        <f t="shared" si="15"/>
        <v>0</v>
      </c>
      <c r="AS28" s="356">
        <f t="shared" si="15"/>
        <v>0</v>
      </c>
      <c r="AT28" s="356">
        <f t="shared" si="15"/>
        <v>0</v>
      </c>
      <c r="AU28" s="356">
        <f t="shared" si="13"/>
        <v>0</v>
      </c>
      <c r="AV28" s="356">
        <f t="shared" si="13"/>
        <v>0</v>
      </c>
      <c r="AW28" s="356">
        <f t="shared" si="13"/>
        <v>0</v>
      </c>
      <c r="AX28" s="356">
        <f t="shared" si="13"/>
        <v>0</v>
      </c>
      <c r="AY28" s="356">
        <f t="shared" si="13"/>
        <v>0</v>
      </c>
      <c r="AZ28" s="356">
        <f t="shared" si="13"/>
        <v>0</v>
      </c>
      <c r="BA28" s="356">
        <f t="shared" si="14"/>
        <v>0</v>
      </c>
      <c r="BB28" s="356">
        <f t="shared" si="14"/>
        <v>0</v>
      </c>
      <c r="BC28" s="344">
        <v>16</v>
      </c>
    </row>
    <row r="29" spans="1:55" x14ac:dyDescent="0.25">
      <c r="A29" s="1895"/>
      <c r="B29" s="1895"/>
      <c r="C29" s="2028"/>
      <c r="D29" s="1897"/>
      <c r="E29" s="1897"/>
      <c r="F29" s="1897"/>
      <c r="G29" s="358" t="str">
        <f t="shared" si="16"/>
        <v xml:space="preserve"> </v>
      </c>
      <c r="H29" s="1031">
        <f t="shared" si="17"/>
        <v>0</v>
      </c>
      <c r="I29" s="356" t="e">
        <f t="shared" si="4"/>
        <v>#DIV/0!</v>
      </c>
      <c r="J29" s="5" t="e">
        <f t="shared" si="18"/>
        <v>#DIV/0!</v>
      </c>
      <c r="K29" s="35" t="e">
        <f t="shared" si="6"/>
        <v>#DIV/0!</v>
      </c>
      <c r="L29" s="1032">
        <f t="shared" si="7"/>
        <v>0</v>
      </c>
      <c r="O29" s="356" t="e">
        <f t="shared" si="12"/>
        <v>#DIV/0!</v>
      </c>
      <c r="P29" s="356">
        <f t="shared" si="12"/>
        <v>0</v>
      </c>
      <c r="Q29" s="356">
        <f t="shared" si="12"/>
        <v>0</v>
      </c>
      <c r="R29" s="356">
        <f t="shared" si="12"/>
        <v>0</v>
      </c>
      <c r="S29" s="356">
        <f t="shared" si="12"/>
        <v>0</v>
      </c>
      <c r="T29" s="356">
        <f t="shared" si="12"/>
        <v>0</v>
      </c>
      <c r="U29" s="356">
        <f t="shared" si="12"/>
        <v>0</v>
      </c>
      <c r="V29" s="356">
        <f t="shared" si="12"/>
        <v>0</v>
      </c>
      <c r="W29" s="356">
        <f t="shared" si="12"/>
        <v>0</v>
      </c>
      <c r="X29" s="356">
        <f t="shared" si="12"/>
        <v>0</v>
      </c>
      <c r="Y29" s="356">
        <f t="shared" si="12"/>
        <v>0</v>
      </c>
      <c r="Z29" s="356">
        <f t="shared" si="12"/>
        <v>0</v>
      </c>
      <c r="AA29" s="356">
        <f t="shared" si="12"/>
        <v>0</v>
      </c>
      <c r="AB29" s="356">
        <f t="shared" si="12"/>
        <v>0</v>
      </c>
      <c r="AC29" s="356">
        <f t="shared" si="12"/>
        <v>0</v>
      </c>
      <c r="AD29" s="356">
        <f t="shared" si="12"/>
        <v>0</v>
      </c>
      <c r="AE29" s="356">
        <f t="shared" si="15"/>
        <v>0</v>
      </c>
      <c r="AF29" s="356">
        <f t="shared" si="15"/>
        <v>0</v>
      </c>
      <c r="AG29" s="356">
        <f t="shared" si="15"/>
        <v>0</v>
      </c>
      <c r="AH29" s="356">
        <f t="shared" si="15"/>
        <v>0</v>
      </c>
      <c r="AI29" s="356">
        <f t="shared" si="15"/>
        <v>0</v>
      </c>
      <c r="AJ29" s="356">
        <f t="shared" si="15"/>
        <v>0</v>
      </c>
      <c r="AK29" s="356">
        <f t="shared" si="15"/>
        <v>0</v>
      </c>
      <c r="AL29" s="356">
        <f t="shared" si="15"/>
        <v>0</v>
      </c>
      <c r="AM29" s="356">
        <f t="shared" si="15"/>
        <v>0</v>
      </c>
      <c r="AN29" s="356">
        <f t="shared" si="15"/>
        <v>0</v>
      </c>
      <c r="AO29" s="356">
        <f t="shared" si="15"/>
        <v>0</v>
      </c>
      <c r="AP29" s="356">
        <f t="shared" si="15"/>
        <v>0</v>
      </c>
      <c r="AQ29" s="356">
        <f t="shared" si="15"/>
        <v>0</v>
      </c>
      <c r="AR29" s="356">
        <f t="shared" si="15"/>
        <v>0</v>
      </c>
      <c r="AS29" s="356">
        <f t="shared" si="15"/>
        <v>0</v>
      </c>
      <c r="AT29" s="356">
        <f t="shared" si="15"/>
        <v>0</v>
      </c>
      <c r="AU29" s="356">
        <f t="shared" si="13"/>
        <v>0</v>
      </c>
      <c r="AV29" s="356">
        <f t="shared" si="13"/>
        <v>0</v>
      </c>
      <c r="AW29" s="356">
        <f t="shared" si="13"/>
        <v>0</v>
      </c>
      <c r="AX29" s="356">
        <f t="shared" si="13"/>
        <v>0</v>
      </c>
      <c r="AY29" s="356">
        <f t="shared" si="13"/>
        <v>0</v>
      </c>
      <c r="AZ29" s="356">
        <f t="shared" si="13"/>
        <v>0</v>
      </c>
      <c r="BA29" s="356">
        <f t="shared" si="14"/>
        <v>0</v>
      </c>
      <c r="BB29" s="356">
        <f t="shared" si="14"/>
        <v>0</v>
      </c>
      <c r="BC29" s="344">
        <v>17</v>
      </c>
    </row>
    <row r="30" spans="1:55" x14ac:dyDescent="0.25">
      <c r="A30" s="1895"/>
      <c r="B30" s="1895"/>
      <c r="C30" s="2028"/>
      <c r="D30" s="1897"/>
      <c r="E30" s="1897"/>
      <c r="F30" s="1897"/>
      <c r="G30" s="358" t="str">
        <f t="shared" si="16"/>
        <v xml:space="preserve"> </v>
      </c>
      <c r="H30" s="1031">
        <f t="shared" si="17"/>
        <v>0</v>
      </c>
      <c r="I30" s="356" t="e">
        <f t="shared" si="4"/>
        <v>#DIV/0!</v>
      </c>
      <c r="J30" s="5" t="e">
        <f t="shared" si="18"/>
        <v>#DIV/0!</v>
      </c>
      <c r="K30" s="35" t="e">
        <f t="shared" si="6"/>
        <v>#DIV/0!</v>
      </c>
      <c r="L30" s="1032">
        <f t="shared" si="7"/>
        <v>0</v>
      </c>
      <c r="O30" s="356" t="e">
        <f t="shared" si="12"/>
        <v>#DIV/0!</v>
      </c>
      <c r="P30" s="356">
        <f t="shared" si="12"/>
        <v>0</v>
      </c>
      <c r="Q30" s="356">
        <f t="shared" si="12"/>
        <v>0</v>
      </c>
      <c r="R30" s="356">
        <f t="shared" si="12"/>
        <v>0</v>
      </c>
      <c r="S30" s="356">
        <f t="shared" si="12"/>
        <v>0</v>
      </c>
      <c r="T30" s="356">
        <f t="shared" si="12"/>
        <v>0</v>
      </c>
      <c r="U30" s="356">
        <f t="shared" si="12"/>
        <v>0</v>
      </c>
      <c r="V30" s="356">
        <f t="shared" si="12"/>
        <v>0</v>
      </c>
      <c r="W30" s="356">
        <f t="shared" si="12"/>
        <v>0</v>
      </c>
      <c r="X30" s="356">
        <f t="shared" si="12"/>
        <v>0</v>
      </c>
      <c r="Y30" s="356">
        <f t="shared" si="12"/>
        <v>0</v>
      </c>
      <c r="Z30" s="356">
        <f t="shared" si="12"/>
        <v>0</v>
      </c>
      <c r="AA30" s="356">
        <f t="shared" si="12"/>
        <v>0</v>
      </c>
      <c r="AB30" s="356">
        <f t="shared" si="12"/>
        <v>0</v>
      </c>
      <c r="AC30" s="356">
        <f t="shared" si="12"/>
        <v>0</v>
      </c>
      <c r="AD30" s="356">
        <f t="shared" si="12"/>
        <v>0</v>
      </c>
      <c r="AE30" s="356">
        <f t="shared" si="15"/>
        <v>0</v>
      </c>
      <c r="AF30" s="356">
        <f t="shared" si="15"/>
        <v>0</v>
      </c>
      <c r="AG30" s="356">
        <f t="shared" si="15"/>
        <v>0</v>
      </c>
      <c r="AH30" s="356">
        <f t="shared" si="15"/>
        <v>0</v>
      </c>
      <c r="AI30" s="356">
        <f t="shared" si="15"/>
        <v>0</v>
      </c>
      <c r="AJ30" s="356">
        <f t="shared" si="15"/>
        <v>0</v>
      </c>
      <c r="AK30" s="356">
        <f t="shared" si="15"/>
        <v>0</v>
      </c>
      <c r="AL30" s="356">
        <f t="shared" si="15"/>
        <v>0</v>
      </c>
      <c r="AM30" s="356">
        <f t="shared" si="15"/>
        <v>0</v>
      </c>
      <c r="AN30" s="356">
        <f t="shared" si="15"/>
        <v>0</v>
      </c>
      <c r="AO30" s="356">
        <f t="shared" si="15"/>
        <v>0</v>
      </c>
      <c r="AP30" s="356">
        <f t="shared" si="15"/>
        <v>0</v>
      </c>
      <c r="AQ30" s="356">
        <f t="shared" si="15"/>
        <v>0</v>
      </c>
      <c r="AR30" s="356">
        <f t="shared" si="15"/>
        <v>0</v>
      </c>
      <c r="AS30" s="356">
        <f t="shared" si="15"/>
        <v>0</v>
      </c>
      <c r="AT30" s="356">
        <f t="shared" si="15"/>
        <v>0</v>
      </c>
      <c r="AU30" s="356">
        <f t="shared" si="13"/>
        <v>0</v>
      </c>
      <c r="AV30" s="356">
        <f t="shared" si="13"/>
        <v>0</v>
      </c>
      <c r="AW30" s="356">
        <f t="shared" si="13"/>
        <v>0</v>
      </c>
      <c r="AX30" s="356">
        <f t="shared" si="13"/>
        <v>0</v>
      </c>
      <c r="AY30" s="356">
        <f t="shared" si="13"/>
        <v>0</v>
      </c>
      <c r="AZ30" s="356">
        <f t="shared" si="13"/>
        <v>0</v>
      </c>
      <c r="BA30" s="356">
        <f t="shared" si="14"/>
        <v>0</v>
      </c>
      <c r="BB30" s="356">
        <f t="shared" si="14"/>
        <v>0</v>
      </c>
      <c r="BC30" s="344">
        <v>18</v>
      </c>
    </row>
    <row r="31" spans="1:55" x14ac:dyDescent="0.25">
      <c r="A31" s="1895"/>
      <c r="B31" s="1895"/>
      <c r="C31" s="2028"/>
      <c r="D31" s="1897"/>
      <c r="E31" s="1897"/>
      <c r="F31" s="1897"/>
      <c r="G31" s="358" t="str">
        <f t="shared" si="16"/>
        <v xml:space="preserve"> </v>
      </c>
      <c r="H31" s="1031">
        <f t="shared" si="17"/>
        <v>0</v>
      </c>
      <c r="I31" s="356" t="e">
        <f t="shared" si="4"/>
        <v>#DIV/0!</v>
      </c>
      <c r="J31" s="5" t="e">
        <f t="shared" si="18"/>
        <v>#DIV/0!</v>
      </c>
      <c r="K31" s="35" t="e">
        <f t="shared" si="6"/>
        <v>#DIV/0!</v>
      </c>
      <c r="L31" s="1032">
        <f t="shared" si="7"/>
        <v>0</v>
      </c>
      <c r="O31" s="356" t="e">
        <f t="shared" si="12"/>
        <v>#DIV/0!</v>
      </c>
      <c r="P31" s="356">
        <f t="shared" si="12"/>
        <v>0</v>
      </c>
      <c r="Q31" s="356">
        <f t="shared" si="12"/>
        <v>0</v>
      </c>
      <c r="R31" s="356">
        <f t="shared" si="12"/>
        <v>0</v>
      </c>
      <c r="S31" s="356">
        <f t="shared" si="12"/>
        <v>0</v>
      </c>
      <c r="T31" s="356">
        <f t="shared" si="12"/>
        <v>0</v>
      </c>
      <c r="U31" s="356">
        <f t="shared" si="12"/>
        <v>0</v>
      </c>
      <c r="V31" s="356">
        <f t="shared" si="12"/>
        <v>0</v>
      </c>
      <c r="W31" s="356">
        <f t="shared" si="12"/>
        <v>0</v>
      </c>
      <c r="X31" s="356">
        <f t="shared" si="12"/>
        <v>0</v>
      </c>
      <c r="Y31" s="356">
        <f t="shared" si="12"/>
        <v>0</v>
      </c>
      <c r="Z31" s="356">
        <f t="shared" si="12"/>
        <v>0</v>
      </c>
      <c r="AA31" s="356">
        <f t="shared" si="12"/>
        <v>0</v>
      </c>
      <c r="AB31" s="356">
        <f t="shared" si="12"/>
        <v>0</v>
      </c>
      <c r="AC31" s="356">
        <f t="shared" si="12"/>
        <v>0</v>
      </c>
      <c r="AD31" s="356">
        <f t="shared" si="12"/>
        <v>0</v>
      </c>
      <c r="AE31" s="356">
        <f t="shared" si="15"/>
        <v>0</v>
      </c>
      <c r="AF31" s="356">
        <f t="shared" si="15"/>
        <v>0</v>
      </c>
      <c r="AG31" s="356">
        <f t="shared" si="15"/>
        <v>0</v>
      </c>
      <c r="AH31" s="356">
        <f t="shared" si="15"/>
        <v>0</v>
      </c>
      <c r="AI31" s="356">
        <f t="shared" si="15"/>
        <v>0</v>
      </c>
      <c r="AJ31" s="356">
        <f t="shared" si="15"/>
        <v>0</v>
      </c>
      <c r="AK31" s="356">
        <f t="shared" si="15"/>
        <v>0</v>
      </c>
      <c r="AL31" s="356">
        <f t="shared" si="15"/>
        <v>0</v>
      </c>
      <c r="AM31" s="356">
        <f t="shared" si="15"/>
        <v>0</v>
      </c>
      <c r="AN31" s="356">
        <f t="shared" si="15"/>
        <v>0</v>
      </c>
      <c r="AO31" s="356">
        <f t="shared" si="15"/>
        <v>0</v>
      </c>
      <c r="AP31" s="356">
        <f t="shared" si="15"/>
        <v>0</v>
      </c>
      <c r="AQ31" s="356">
        <f t="shared" si="15"/>
        <v>0</v>
      </c>
      <c r="AR31" s="356">
        <f t="shared" si="15"/>
        <v>0</v>
      </c>
      <c r="AS31" s="356">
        <f t="shared" si="15"/>
        <v>0</v>
      </c>
      <c r="AT31" s="356">
        <f t="shared" si="15"/>
        <v>0</v>
      </c>
      <c r="AU31" s="356">
        <f t="shared" si="13"/>
        <v>0</v>
      </c>
      <c r="AV31" s="356">
        <f t="shared" si="13"/>
        <v>0</v>
      </c>
      <c r="AW31" s="356">
        <f t="shared" si="13"/>
        <v>0</v>
      </c>
      <c r="AX31" s="356">
        <f t="shared" si="13"/>
        <v>0</v>
      </c>
      <c r="AY31" s="356">
        <f t="shared" si="13"/>
        <v>0</v>
      </c>
      <c r="AZ31" s="356">
        <f t="shared" si="13"/>
        <v>0</v>
      </c>
      <c r="BA31" s="356">
        <f t="shared" si="14"/>
        <v>0</v>
      </c>
      <c r="BB31" s="356">
        <f t="shared" si="14"/>
        <v>0</v>
      </c>
      <c r="BC31" s="344">
        <v>19</v>
      </c>
    </row>
    <row r="32" spans="1:55" x14ac:dyDescent="0.25">
      <c r="A32" s="1895"/>
      <c r="B32" s="1895"/>
      <c r="C32" s="2028"/>
      <c r="D32" s="1897"/>
      <c r="E32" s="1897"/>
      <c r="F32" s="1897"/>
      <c r="G32" s="358" t="str">
        <f t="shared" si="16"/>
        <v xml:space="preserve"> </v>
      </c>
      <c r="H32" s="1031">
        <f t="shared" si="17"/>
        <v>0</v>
      </c>
      <c r="I32" s="356" t="e">
        <f t="shared" si="4"/>
        <v>#DIV/0!</v>
      </c>
      <c r="J32" s="5" t="e">
        <f t="shared" si="18"/>
        <v>#DIV/0!</v>
      </c>
      <c r="K32" s="35" t="e">
        <f t="shared" si="6"/>
        <v>#DIV/0!</v>
      </c>
      <c r="L32" s="1032">
        <f t="shared" si="7"/>
        <v>0</v>
      </c>
      <c r="O32" s="356" t="e">
        <f t="shared" si="12"/>
        <v>#DIV/0!</v>
      </c>
      <c r="P32" s="356">
        <f t="shared" si="12"/>
        <v>0</v>
      </c>
      <c r="Q32" s="356">
        <f t="shared" si="12"/>
        <v>0</v>
      </c>
      <c r="R32" s="356">
        <f t="shared" si="12"/>
        <v>0</v>
      </c>
      <c r="S32" s="356">
        <f t="shared" si="12"/>
        <v>0</v>
      </c>
      <c r="T32" s="356">
        <f t="shared" si="12"/>
        <v>0</v>
      </c>
      <c r="U32" s="356">
        <f t="shared" si="12"/>
        <v>0</v>
      </c>
      <c r="V32" s="356">
        <f t="shared" si="12"/>
        <v>0</v>
      </c>
      <c r="W32" s="356">
        <f t="shared" si="12"/>
        <v>0</v>
      </c>
      <c r="X32" s="356">
        <f t="shared" si="12"/>
        <v>0</v>
      </c>
      <c r="Y32" s="356">
        <f t="shared" si="12"/>
        <v>0</v>
      </c>
      <c r="Z32" s="356">
        <f t="shared" si="12"/>
        <v>0</v>
      </c>
      <c r="AA32" s="356">
        <f t="shared" si="12"/>
        <v>0</v>
      </c>
      <c r="AB32" s="356">
        <f t="shared" si="12"/>
        <v>0</v>
      </c>
      <c r="AC32" s="356">
        <f t="shared" si="12"/>
        <v>0</v>
      </c>
      <c r="AD32" s="356">
        <f t="shared" si="12"/>
        <v>0</v>
      </c>
      <c r="AE32" s="356">
        <f t="shared" si="15"/>
        <v>0</v>
      </c>
      <c r="AF32" s="356">
        <f t="shared" si="15"/>
        <v>0</v>
      </c>
      <c r="AG32" s="356">
        <f t="shared" si="15"/>
        <v>0</v>
      </c>
      <c r="AH32" s="356">
        <f t="shared" si="15"/>
        <v>0</v>
      </c>
      <c r="AI32" s="356">
        <f t="shared" si="15"/>
        <v>0</v>
      </c>
      <c r="AJ32" s="356">
        <f t="shared" si="15"/>
        <v>0</v>
      </c>
      <c r="AK32" s="356">
        <f t="shared" si="15"/>
        <v>0</v>
      </c>
      <c r="AL32" s="356">
        <f t="shared" si="15"/>
        <v>0</v>
      </c>
      <c r="AM32" s="356">
        <f t="shared" si="15"/>
        <v>0</v>
      </c>
      <c r="AN32" s="356">
        <f t="shared" si="15"/>
        <v>0</v>
      </c>
      <c r="AO32" s="356">
        <f t="shared" si="15"/>
        <v>0</v>
      </c>
      <c r="AP32" s="356">
        <f t="shared" si="15"/>
        <v>0</v>
      </c>
      <c r="AQ32" s="356">
        <f t="shared" si="15"/>
        <v>0</v>
      </c>
      <c r="AR32" s="356">
        <f t="shared" si="15"/>
        <v>0</v>
      </c>
      <c r="AS32" s="356">
        <f t="shared" si="15"/>
        <v>0</v>
      </c>
      <c r="AT32" s="356">
        <f t="shared" si="15"/>
        <v>0</v>
      </c>
      <c r="AU32" s="356">
        <f t="shared" si="13"/>
        <v>0</v>
      </c>
      <c r="AV32" s="356">
        <f t="shared" si="13"/>
        <v>0</v>
      </c>
      <c r="AW32" s="356">
        <f t="shared" si="13"/>
        <v>0</v>
      </c>
      <c r="AX32" s="356">
        <f t="shared" si="13"/>
        <v>0</v>
      </c>
      <c r="AY32" s="356">
        <f t="shared" si="13"/>
        <v>0</v>
      </c>
      <c r="AZ32" s="356">
        <f t="shared" si="13"/>
        <v>0</v>
      </c>
      <c r="BA32" s="356">
        <f t="shared" si="14"/>
        <v>0</v>
      </c>
      <c r="BB32" s="356">
        <f t="shared" si="14"/>
        <v>0</v>
      </c>
      <c r="BC32" s="344">
        <v>20</v>
      </c>
    </row>
    <row r="33" spans="1:55" x14ac:dyDescent="0.25">
      <c r="A33" s="1895"/>
      <c r="B33" s="1895"/>
      <c r="C33" s="2028"/>
      <c r="D33" s="1897"/>
      <c r="E33" s="1897"/>
      <c r="F33" s="1897"/>
      <c r="G33" s="358" t="str">
        <f t="shared" si="16"/>
        <v xml:space="preserve"> </v>
      </c>
      <c r="H33" s="1031">
        <f t="shared" si="17"/>
        <v>0</v>
      </c>
      <c r="I33" s="356" t="e">
        <f t="shared" si="4"/>
        <v>#DIV/0!</v>
      </c>
      <c r="J33" s="5" t="e">
        <f t="shared" si="18"/>
        <v>#DIV/0!</v>
      </c>
      <c r="K33" s="35" t="e">
        <f t="shared" si="6"/>
        <v>#DIV/0!</v>
      </c>
      <c r="L33" s="1032">
        <f t="shared" si="7"/>
        <v>0</v>
      </c>
      <c r="O33" s="356" t="e">
        <f t="shared" si="12"/>
        <v>#DIV/0!</v>
      </c>
      <c r="P33" s="356">
        <f t="shared" si="12"/>
        <v>0</v>
      </c>
      <c r="Q33" s="356">
        <f t="shared" si="12"/>
        <v>0</v>
      </c>
      <c r="R33" s="356">
        <f t="shared" si="12"/>
        <v>0</v>
      </c>
      <c r="S33" s="356">
        <f t="shared" si="12"/>
        <v>0</v>
      </c>
      <c r="T33" s="356">
        <f t="shared" si="12"/>
        <v>0</v>
      </c>
      <c r="U33" s="356">
        <f t="shared" si="12"/>
        <v>0</v>
      </c>
      <c r="V33" s="356">
        <f t="shared" si="12"/>
        <v>0</v>
      </c>
      <c r="W33" s="356">
        <f t="shared" si="12"/>
        <v>0</v>
      </c>
      <c r="X33" s="356">
        <f t="shared" si="12"/>
        <v>0</v>
      </c>
      <c r="Y33" s="356">
        <f t="shared" si="12"/>
        <v>0</v>
      </c>
      <c r="Z33" s="356">
        <f t="shared" si="12"/>
        <v>0</v>
      </c>
      <c r="AA33" s="356">
        <f t="shared" si="12"/>
        <v>0</v>
      </c>
      <c r="AB33" s="356">
        <f t="shared" si="12"/>
        <v>0</v>
      </c>
      <c r="AC33" s="356">
        <f t="shared" si="12"/>
        <v>0</v>
      </c>
      <c r="AD33" s="356">
        <f t="shared" si="12"/>
        <v>0</v>
      </c>
      <c r="AE33" s="356">
        <f t="shared" si="15"/>
        <v>0</v>
      </c>
      <c r="AF33" s="356">
        <f t="shared" si="15"/>
        <v>0</v>
      </c>
      <c r="AG33" s="356">
        <f t="shared" si="15"/>
        <v>0</v>
      </c>
      <c r="AH33" s="356">
        <f t="shared" si="15"/>
        <v>0</v>
      </c>
      <c r="AI33" s="356">
        <f t="shared" si="15"/>
        <v>0</v>
      </c>
      <c r="AJ33" s="356">
        <f t="shared" si="15"/>
        <v>0</v>
      </c>
      <c r="AK33" s="356">
        <f t="shared" si="15"/>
        <v>0</v>
      </c>
      <c r="AL33" s="356">
        <f t="shared" si="15"/>
        <v>0</v>
      </c>
      <c r="AM33" s="356">
        <f t="shared" si="15"/>
        <v>0</v>
      </c>
      <c r="AN33" s="356">
        <f t="shared" si="15"/>
        <v>0</v>
      </c>
      <c r="AO33" s="356">
        <f t="shared" si="15"/>
        <v>0</v>
      </c>
      <c r="AP33" s="356">
        <f t="shared" si="15"/>
        <v>0</v>
      </c>
      <c r="AQ33" s="356">
        <f t="shared" si="15"/>
        <v>0</v>
      </c>
      <c r="AR33" s="356">
        <f t="shared" si="15"/>
        <v>0</v>
      </c>
      <c r="AS33" s="356">
        <f t="shared" si="15"/>
        <v>0</v>
      </c>
      <c r="AT33" s="356">
        <f t="shared" si="15"/>
        <v>0</v>
      </c>
      <c r="AU33" s="356">
        <f t="shared" si="13"/>
        <v>0</v>
      </c>
      <c r="AV33" s="356">
        <f t="shared" si="13"/>
        <v>0</v>
      </c>
      <c r="AW33" s="356">
        <f t="shared" si="13"/>
        <v>0</v>
      </c>
      <c r="AX33" s="356">
        <f t="shared" si="13"/>
        <v>0</v>
      </c>
      <c r="AY33" s="356">
        <f t="shared" si="13"/>
        <v>0</v>
      </c>
      <c r="AZ33" s="356">
        <f t="shared" si="13"/>
        <v>0</v>
      </c>
      <c r="BA33" s="356">
        <f t="shared" si="14"/>
        <v>0</v>
      </c>
      <c r="BB33" s="356">
        <f t="shared" si="14"/>
        <v>0</v>
      </c>
      <c r="BC33" s="344">
        <v>21</v>
      </c>
    </row>
    <row r="34" spans="1:55" x14ac:dyDescent="0.25">
      <c r="A34" s="1895"/>
      <c r="B34" s="1895"/>
      <c r="C34" s="2028"/>
      <c r="D34" s="1897"/>
      <c r="E34" s="1897"/>
      <c r="F34" s="1897"/>
      <c r="G34" s="358" t="str">
        <f t="shared" si="16"/>
        <v xml:space="preserve"> </v>
      </c>
      <c r="H34" s="1031">
        <f t="shared" si="17"/>
        <v>0</v>
      </c>
      <c r="I34" s="356" t="e">
        <f t="shared" si="4"/>
        <v>#DIV/0!</v>
      </c>
      <c r="J34" s="5" t="e">
        <f t="shared" si="18"/>
        <v>#DIV/0!</v>
      </c>
      <c r="K34" s="35" t="e">
        <f t="shared" si="6"/>
        <v>#DIV/0!</v>
      </c>
      <c r="L34" s="1032">
        <f t="shared" si="7"/>
        <v>0</v>
      </c>
      <c r="O34" s="356" t="e">
        <f t="shared" si="12"/>
        <v>#DIV/0!</v>
      </c>
      <c r="P34" s="356">
        <f t="shared" si="12"/>
        <v>0</v>
      </c>
      <c r="Q34" s="356">
        <f t="shared" si="12"/>
        <v>0</v>
      </c>
      <c r="R34" s="356">
        <f t="shared" si="12"/>
        <v>0</v>
      </c>
      <c r="S34" s="356">
        <f t="shared" si="12"/>
        <v>0</v>
      </c>
      <c r="T34" s="356">
        <f t="shared" si="12"/>
        <v>0</v>
      </c>
      <c r="U34" s="356">
        <f t="shared" si="12"/>
        <v>0</v>
      </c>
      <c r="V34" s="356">
        <f t="shared" si="12"/>
        <v>0</v>
      </c>
      <c r="W34" s="356">
        <f t="shared" si="12"/>
        <v>0</v>
      </c>
      <c r="X34" s="356">
        <f t="shared" si="12"/>
        <v>0</v>
      </c>
      <c r="Y34" s="356">
        <f t="shared" si="12"/>
        <v>0</v>
      </c>
      <c r="Z34" s="356">
        <f t="shared" si="12"/>
        <v>0</v>
      </c>
      <c r="AA34" s="356">
        <f t="shared" si="12"/>
        <v>0</v>
      </c>
      <c r="AB34" s="356">
        <f t="shared" si="12"/>
        <v>0</v>
      </c>
      <c r="AC34" s="356">
        <f t="shared" si="12"/>
        <v>0</v>
      </c>
      <c r="AD34" s="356">
        <f t="shared" si="12"/>
        <v>0</v>
      </c>
      <c r="AE34" s="356">
        <f t="shared" si="15"/>
        <v>0</v>
      </c>
      <c r="AF34" s="356">
        <f t="shared" si="15"/>
        <v>0</v>
      </c>
      <c r="AG34" s="356">
        <f t="shared" si="15"/>
        <v>0</v>
      </c>
      <c r="AH34" s="356">
        <f t="shared" si="15"/>
        <v>0</v>
      </c>
      <c r="AI34" s="356">
        <f t="shared" si="15"/>
        <v>0</v>
      </c>
      <c r="AJ34" s="356">
        <f t="shared" si="15"/>
        <v>0</v>
      </c>
      <c r="AK34" s="356">
        <f t="shared" si="15"/>
        <v>0</v>
      </c>
      <c r="AL34" s="356">
        <f t="shared" si="15"/>
        <v>0</v>
      </c>
      <c r="AM34" s="356">
        <f t="shared" si="15"/>
        <v>0</v>
      </c>
      <c r="AN34" s="356">
        <f t="shared" si="15"/>
        <v>0</v>
      </c>
      <c r="AO34" s="356">
        <f t="shared" si="15"/>
        <v>0</v>
      </c>
      <c r="AP34" s="356">
        <f t="shared" si="15"/>
        <v>0</v>
      </c>
      <c r="AQ34" s="356">
        <f t="shared" si="15"/>
        <v>0</v>
      </c>
      <c r="AR34" s="356">
        <f t="shared" si="15"/>
        <v>0</v>
      </c>
      <c r="AS34" s="356">
        <f t="shared" si="15"/>
        <v>0</v>
      </c>
      <c r="AT34" s="356">
        <f t="shared" si="15"/>
        <v>0</v>
      </c>
      <c r="AU34" s="356">
        <f t="shared" si="13"/>
        <v>0</v>
      </c>
      <c r="AV34" s="356">
        <f t="shared" si="13"/>
        <v>0</v>
      </c>
      <c r="AW34" s="356">
        <f t="shared" si="13"/>
        <v>0</v>
      </c>
      <c r="AX34" s="356">
        <f t="shared" si="13"/>
        <v>0</v>
      </c>
      <c r="AY34" s="356">
        <f t="shared" si="13"/>
        <v>0</v>
      </c>
      <c r="AZ34" s="356">
        <f t="shared" si="13"/>
        <v>0</v>
      </c>
      <c r="BA34" s="356">
        <f t="shared" si="14"/>
        <v>0</v>
      </c>
      <c r="BB34" s="356">
        <f t="shared" si="14"/>
        <v>0</v>
      </c>
      <c r="BC34" s="344">
        <v>22</v>
      </c>
    </row>
    <row r="35" spans="1:55" x14ac:dyDescent="0.25">
      <c r="A35" s="1895"/>
      <c r="B35" s="1895"/>
      <c r="C35" s="2028"/>
      <c r="D35" s="1897"/>
      <c r="E35" s="1897"/>
      <c r="F35" s="1897"/>
      <c r="G35" s="358" t="str">
        <f t="shared" si="16"/>
        <v xml:space="preserve"> </v>
      </c>
      <c r="H35" s="1031">
        <f t="shared" si="17"/>
        <v>0</v>
      </c>
      <c r="I35" s="356" t="e">
        <f t="shared" si="4"/>
        <v>#DIV/0!</v>
      </c>
      <c r="J35" s="5" t="e">
        <f t="shared" si="18"/>
        <v>#DIV/0!</v>
      </c>
      <c r="K35" s="35" t="e">
        <f t="shared" si="6"/>
        <v>#DIV/0!</v>
      </c>
      <c r="L35" s="1032">
        <f t="shared" si="7"/>
        <v>0</v>
      </c>
      <c r="O35" s="356" t="e">
        <f t="shared" si="12"/>
        <v>#DIV/0!</v>
      </c>
      <c r="P35" s="356">
        <f t="shared" si="12"/>
        <v>0</v>
      </c>
      <c r="Q35" s="356">
        <f t="shared" si="12"/>
        <v>0</v>
      </c>
      <c r="R35" s="356">
        <f t="shared" si="12"/>
        <v>0</v>
      </c>
      <c r="S35" s="356">
        <f t="shared" si="12"/>
        <v>0</v>
      </c>
      <c r="T35" s="356">
        <f t="shared" si="12"/>
        <v>0</v>
      </c>
      <c r="U35" s="356">
        <f t="shared" si="12"/>
        <v>0</v>
      </c>
      <c r="V35" s="356">
        <f t="shared" si="12"/>
        <v>0</v>
      </c>
      <c r="W35" s="356">
        <f t="shared" si="12"/>
        <v>0</v>
      </c>
      <c r="X35" s="356">
        <f t="shared" si="12"/>
        <v>0</v>
      </c>
      <c r="Y35" s="356">
        <f t="shared" si="12"/>
        <v>0</v>
      </c>
      <c r="Z35" s="356">
        <f t="shared" si="12"/>
        <v>0</v>
      </c>
      <c r="AA35" s="356">
        <f t="shared" si="12"/>
        <v>0</v>
      </c>
      <c r="AB35" s="356">
        <f t="shared" si="12"/>
        <v>0</v>
      </c>
      <c r="AC35" s="356">
        <f t="shared" si="12"/>
        <v>0</v>
      </c>
      <c r="AD35" s="356">
        <f t="shared" si="12"/>
        <v>0</v>
      </c>
      <c r="AE35" s="356">
        <f t="shared" si="15"/>
        <v>0</v>
      </c>
      <c r="AF35" s="356">
        <f t="shared" si="15"/>
        <v>0</v>
      </c>
      <c r="AG35" s="356">
        <f t="shared" si="15"/>
        <v>0</v>
      </c>
      <c r="AH35" s="356">
        <f t="shared" si="15"/>
        <v>0</v>
      </c>
      <c r="AI35" s="356">
        <f t="shared" si="15"/>
        <v>0</v>
      </c>
      <c r="AJ35" s="356">
        <f t="shared" si="15"/>
        <v>0</v>
      </c>
      <c r="AK35" s="356">
        <f t="shared" si="15"/>
        <v>0</v>
      </c>
      <c r="AL35" s="356">
        <f t="shared" si="15"/>
        <v>0</v>
      </c>
      <c r="AM35" s="356">
        <f t="shared" si="15"/>
        <v>0</v>
      </c>
      <c r="AN35" s="356">
        <f t="shared" si="15"/>
        <v>0</v>
      </c>
      <c r="AO35" s="356">
        <f t="shared" si="15"/>
        <v>0</v>
      </c>
      <c r="AP35" s="356">
        <f t="shared" si="15"/>
        <v>0</v>
      </c>
      <c r="AQ35" s="356">
        <f t="shared" si="15"/>
        <v>0</v>
      </c>
      <c r="AR35" s="356">
        <f t="shared" si="15"/>
        <v>0</v>
      </c>
      <c r="AS35" s="356">
        <f t="shared" si="15"/>
        <v>0</v>
      </c>
      <c r="AT35" s="356">
        <f t="shared" si="15"/>
        <v>0</v>
      </c>
      <c r="AU35" s="356">
        <f t="shared" si="13"/>
        <v>0</v>
      </c>
      <c r="AV35" s="356">
        <f t="shared" si="13"/>
        <v>0</v>
      </c>
      <c r="AW35" s="356">
        <f t="shared" si="13"/>
        <v>0</v>
      </c>
      <c r="AX35" s="356">
        <f t="shared" si="13"/>
        <v>0</v>
      </c>
      <c r="AY35" s="356">
        <f t="shared" si="13"/>
        <v>0</v>
      </c>
      <c r="AZ35" s="356">
        <f t="shared" si="13"/>
        <v>0</v>
      </c>
      <c r="BA35" s="356">
        <f t="shared" si="14"/>
        <v>0</v>
      </c>
      <c r="BB35" s="356">
        <f t="shared" si="14"/>
        <v>0</v>
      </c>
      <c r="BC35" s="344">
        <v>23</v>
      </c>
    </row>
    <row r="36" spans="1:55" x14ac:dyDescent="0.25">
      <c r="A36" s="1895"/>
      <c r="B36" s="1895"/>
      <c r="C36" s="2028"/>
      <c r="D36" s="1897"/>
      <c r="E36" s="1897"/>
      <c r="F36" s="1897"/>
      <c r="G36" s="358" t="str">
        <f t="shared" si="16"/>
        <v xml:space="preserve"> </v>
      </c>
      <c r="H36" s="1031">
        <f t="shared" si="17"/>
        <v>0</v>
      </c>
      <c r="I36" s="356" t="e">
        <f t="shared" si="4"/>
        <v>#DIV/0!</v>
      </c>
      <c r="J36" s="5" t="e">
        <f t="shared" si="18"/>
        <v>#DIV/0!</v>
      </c>
      <c r="K36" s="35" t="e">
        <f t="shared" si="6"/>
        <v>#DIV/0!</v>
      </c>
      <c r="L36" s="1032">
        <f t="shared" si="7"/>
        <v>0</v>
      </c>
      <c r="O36" s="356" t="e">
        <f t="shared" si="12"/>
        <v>#DIV/0!</v>
      </c>
      <c r="P36" s="356">
        <f t="shared" si="12"/>
        <v>0</v>
      </c>
      <c r="Q36" s="356">
        <f t="shared" si="12"/>
        <v>0</v>
      </c>
      <c r="R36" s="356">
        <f t="shared" si="12"/>
        <v>0</v>
      </c>
      <c r="S36" s="356">
        <f t="shared" si="12"/>
        <v>0</v>
      </c>
      <c r="T36" s="356">
        <f t="shared" si="12"/>
        <v>0</v>
      </c>
      <c r="U36" s="356">
        <f t="shared" si="12"/>
        <v>0</v>
      </c>
      <c r="V36" s="356">
        <f t="shared" si="12"/>
        <v>0</v>
      </c>
      <c r="W36" s="356">
        <f t="shared" si="12"/>
        <v>0</v>
      </c>
      <c r="X36" s="356">
        <f t="shared" ref="X36:AM51" si="19">IF($H36=X$13,(($B36-1)/12)*SLN($D36,$E36,$F36),IF($C36=X$13,((12-$G36)/12)*SLN($D36,$E36,$F36),IF(AND(X$13&gt;$C36,X$13&lt;$H36),SLN($D36,$E36,$F36),0)))</f>
        <v>0</v>
      </c>
      <c r="Y36" s="356">
        <f t="shared" si="19"/>
        <v>0</v>
      </c>
      <c r="Z36" s="356">
        <f t="shared" si="19"/>
        <v>0</v>
      </c>
      <c r="AA36" s="356">
        <f t="shared" si="19"/>
        <v>0</v>
      </c>
      <c r="AB36" s="356">
        <f t="shared" si="19"/>
        <v>0</v>
      </c>
      <c r="AC36" s="356">
        <f t="shared" si="19"/>
        <v>0</v>
      </c>
      <c r="AD36" s="356">
        <f t="shared" si="19"/>
        <v>0</v>
      </c>
      <c r="AE36" s="356">
        <f t="shared" si="19"/>
        <v>0</v>
      </c>
      <c r="AF36" s="356">
        <f t="shared" si="19"/>
        <v>0</v>
      </c>
      <c r="AG36" s="356">
        <f t="shared" si="19"/>
        <v>0</v>
      </c>
      <c r="AH36" s="356">
        <f t="shared" si="19"/>
        <v>0</v>
      </c>
      <c r="AI36" s="356">
        <f t="shared" si="19"/>
        <v>0</v>
      </c>
      <c r="AJ36" s="356">
        <f t="shared" si="19"/>
        <v>0</v>
      </c>
      <c r="AK36" s="356">
        <f t="shared" si="19"/>
        <v>0</v>
      </c>
      <c r="AL36" s="356">
        <f t="shared" si="19"/>
        <v>0</v>
      </c>
      <c r="AM36" s="356">
        <f t="shared" si="19"/>
        <v>0</v>
      </c>
      <c r="AN36" s="356">
        <f t="shared" si="15"/>
        <v>0</v>
      </c>
      <c r="AO36" s="356">
        <f t="shared" si="15"/>
        <v>0</v>
      </c>
      <c r="AP36" s="356">
        <f t="shared" si="15"/>
        <v>0</v>
      </c>
      <c r="AQ36" s="356">
        <f t="shared" si="15"/>
        <v>0</v>
      </c>
      <c r="AR36" s="356">
        <f t="shared" si="15"/>
        <v>0</v>
      </c>
      <c r="AS36" s="356">
        <f t="shared" si="15"/>
        <v>0</v>
      </c>
      <c r="AT36" s="356">
        <f t="shared" si="15"/>
        <v>0</v>
      </c>
      <c r="AU36" s="356">
        <f t="shared" si="13"/>
        <v>0</v>
      </c>
      <c r="AV36" s="356">
        <f t="shared" si="13"/>
        <v>0</v>
      </c>
      <c r="AW36" s="356">
        <f t="shared" si="13"/>
        <v>0</v>
      </c>
      <c r="AX36" s="356">
        <f t="shared" si="13"/>
        <v>0</v>
      </c>
      <c r="AY36" s="356">
        <f t="shared" si="13"/>
        <v>0</v>
      </c>
      <c r="AZ36" s="356">
        <f t="shared" si="13"/>
        <v>0</v>
      </c>
      <c r="BA36" s="356">
        <f t="shared" si="14"/>
        <v>0</v>
      </c>
      <c r="BB36" s="356">
        <f t="shared" si="14"/>
        <v>0</v>
      </c>
      <c r="BC36" s="344">
        <v>24</v>
      </c>
    </row>
    <row r="37" spans="1:55" x14ac:dyDescent="0.25">
      <c r="A37" s="1895"/>
      <c r="B37" s="1895"/>
      <c r="C37" s="2028"/>
      <c r="D37" s="1897"/>
      <c r="E37" s="1897"/>
      <c r="F37" s="1897"/>
      <c r="G37" s="358" t="str">
        <f t="shared" si="16"/>
        <v xml:space="preserve"> </v>
      </c>
      <c r="H37" s="1031">
        <f t="shared" si="17"/>
        <v>0</v>
      </c>
      <c r="I37" s="356" t="e">
        <f t="shared" si="4"/>
        <v>#DIV/0!</v>
      </c>
      <c r="J37" s="5" t="e">
        <f t="shared" si="18"/>
        <v>#DIV/0!</v>
      </c>
      <c r="K37" s="35" t="e">
        <f t="shared" si="6"/>
        <v>#DIV/0!</v>
      </c>
      <c r="L37" s="1032">
        <f t="shared" si="7"/>
        <v>0</v>
      </c>
      <c r="O37" s="356" t="e">
        <f t="shared" ref="O37:AD52" si="20">IF($H37=O$13,(($B37-1)/12)*SLN($D37,$E37,$F37),IF($C37=O$13,((12-$G37)/12)*SLN($D37,$E37,$F37),IF(AND(O$13&gt;$C37,O$13&lt;$H37),SLN($D37,$E37,$F37),0)))</f>
        <v>#DIV/0!</v>
      </c>
      <c r="P37" s="356">
        <f t="shared" si="20"/>
        <v>0</v>
      </c>
      <c r="Q37" s="356">
        <f t="shared" si="20"/>
        <v>0</v>
      </c>
      <c r="R37" s="356">
        <f t="shared" si="20"/>
        <v>0</v>
      </c>
      <c r="S37" s="356">
        <f t="shared" si="20"/>
        <v>0</v>
      </c>
      <c r="T37" s="356">
        <f t="shared" si="20"/>
        <v>0</v>
      </c>
      <c r="U37" s="356">
        <f t="shared" si="20"/>
        <v>0</v>
      </c>
      <c r="V37" s="356">
        <f t="shared" si="20"/>
        <v>0</v>
      </c>
      <c r="W37" s="356">
        <f t="shared" si="20"/>
        <v>0</v>
      </c>
      <c r="X37" s="356">
        <f t="shared" si="20"/>
        <v>0</v>
      </c>
      <c r="Y37" s="356">
        <f t="shared" si="20"/>
        <v>0</v>
      </c>
      <c r="Z37" s="356">
        <f t="shared" si="20"/>
        <v>0</v>
      </c>
      <c r="AA37" s="356">
        <f t="shared" si="20"/>
        <v>0</v>
      </c>
      <c r="AB37" s="356">
        <f t="shared" si="20"/>
        <v>0</v>
      </c>
      <c r="AC37" s="356">
        <f t="shared" si="20"/>
        <v>0</v>
      </c>
      <c r="AD37" s="356">
        <f t="shared" si="20"/>
        <v>0</v>
      </c>
      <c r="AE37" s="356">
        <f t="shared" si="19"/>
        <v>0</v>
      </c>
      <c r="AF37" s="356">
        <f t="shared" si="19"/>
        <v>0</v>
      </c>
      <c r="AG37" s="356">
        <f t="shared" si="19"/>
        <v>0</v>
      </c>
      <c r="AH37" s="356">
        <f t="shared" si="19"/>
        <v>0</v>
      </c>
      <c r="AI37" s="356">
        <f t="shared" si="19"/>
        <v>0</v>
      </c>
      <c r="AJ37" s="356">
        <f t="shared" si="19"/>
        <v>0</v>
      </c>
      <c r="AK37" s="356">
        <f t="shared" si="19"/>
        <v>0</v>
      </c>
      <c r="AL37" s="356">
        <f t="shared" si="19"/>
        <v>0</v>
      </c>
      <c r="AM37" s="356">
        <f t="shared" si="19"/>
        <v>0</v>
      </c>
      <c r="AN37" s="356">
        <f t="shared" si="15"/>
        <v>0</v>
      </c>
      <c r="AO37" s="356">
        <f t="shared" si="15"/>
        <v>0</v>
      </c>
      <c r="AP37" s="356">
        <f t="shared" si="15"/>
        <v>0</v>
      </c>
      <c r="AQ37" s="356">
        <f t="shared" si="15"/>
        <v>0</v>
      </c>
      <c r="AR37" s="356">
        <f t="shared" si="15"/>
        <v>0</v>
      </c>
      <c r="AS37" s="356">
        <f t="shared" si="15"/>
        <v>0</v>
      </c>
      <c r="AT37" s="356">
        <f t="shared" si="15"/>
        <v>0</v>
      </c>
      <c r="AU37" s="356">
        <f t="shared" si="13"/>
        <v>0</v>
      </c>
      <c r="AV37" s="356">
        <f t="shared" si="13"/>
        <v>0</v>
      </c>
      <c r="AW37" s="356">
        <f t="shared" si="13"/>
        <v>0</v>
      </c>
      <c r="AX37" s="356">
        <f t="shared" si="13"/>
        <v>0</v>
      </c>
      <c r="AY37" s="356">
        <f t="shared" si="13"/>
        <v>0</v>
      </c>
      <c r="AZ37" s="356">
        <f t="shared" si="13"/>
        <v>0</v>
      </c>
      <c r="BA37" s="356">
        <f t="shared" si="14"/>
        <v>0</v>
      </c>
      <c r="BB37" s="356">
        <f t="shared" si="14"/>
        <v>0</v>
      </c>
      <c r="BC37" s="344">
        <v>25</v>
      </c>
    </row>
    <row r="38" spans="1:55" x14ac:dyDescent="0.25">
      <c r="A38" s="1895"/>
      <c r="B38" s="1895"/>
      <c r="C38" s="2028"/>
      <c r="D38" s="1897"/>
      <c r="E38" s="1897"/>
      <c r="F38" s="1897"/>
      <c r="G38" s="358" t="str">
        <f t="shared" si="16"/>
        <v xml:space="preserve"> </v>
      </c>
      <c r="H38" s="1031">
        <f t="shared" si="17"/>
        <v>0</v>
      </c>
      <c r="I38" s="356" t="e">
        <f t="shared" si="4"/>
        <v>#DIV/0!</v>
      </c>
      <c r="J38" s="5" t="e">
        <f t="shared" si="18"/>
        <v>#DIV/0!</v>
      </c>
      <c r="K38" s="35" t="e">
        <f t="shared" si="6"/>
        <v>#DIV/0!</v>
      </c>
      <c r="L38" s="1032">
        <f t="shared" si="7"/>
        <v>0</v>
      </c>
      <c r="O38" s="356" t="e">
        <f t="shared" si="20"/>
        <v>#DIV/0!</v>
      </c>
      <c r="P38" s="356">
        <f t="shared" si="20"/>
        <v>0</v>
      </c>
      <c r="Q38" s="356">
        <f t="shared" si="20"/>
        <v>0</v>
      </c>
      <c r="R38" s="356">
        <f t="shared" si="20"/>
        <v>0</v>
      </c>
      <c r="S38" s="356">
        <f t="shared" si="20"/>
        <v>0</v>
      </c>
      <c r="T38" s="356">
        <f t="shared" si="20"/>
        <v>0</v>
      </c>
      <c r="U38" s="356">
        <f t="shared" si="20"/>
        <v>0</v>
      </c>
      <c r="V38" s="356">
        <f t="shared" si="20"/>
        <v>0</v>
      </c>
      <c r="W38" s="356">
        <f t="shared" si="20"/>
        <v>0</v>
      </c>
      <c r="X38" s="356">
        <f t="shared" si="20"/>
        <v>0</v>
      </c>
      <c r="Y38" s="356">
        <f t="shared" si="20"/>
        <v>0</v>
      </c>
      <c r="Z38" s="356">
        <f t="shared" si="20"/>
        <v>0</v>
      </c>
      <c r="AA38" s="356">
        <f t="shared" si="20"/>
        <v>0</v>
      </c>
      <c r="AB38" s="356">
        <f t="shared" si="20"/>
        <v>0</v>
      </c>
      <c r="AC38" s="356">
        <f t="shared" si="20"/>
        <v>0</v>
      </c>
      <c r="AD38" s="356">
        <f t="shared" si="20"/>
        <v>0</v>
      </c>
      <c r="AE38" s="356">
        <f t="shared" si="19"/>
        <v>0</v>
      </c>
      <c r="AF38" s="356">
        <f t="shared" si="19"/>
        <v>0</v>
      </c>
      <c r="AG38" s="356">
        <f t="shared" si="19"/>
        <v>0</v>
      </c>
      <c r="AH38" s="356">
        <f t="shared" si="19"/>
        <v>0</v>
      </c>
      <c r="AI38" s="356">
        <f t="shared" si="19"/>
        <v>0</v>
      </c>
      <c r="AJ38" s="356">
        <f t="shared" si="19"/>
        <v>0</v>
      </c>
      <c r="AK38" s="356">
        <f t="shared" si="19"/>
        <v>0</v>
      </c>
      <c r="AL38" s="356">
        <f t="shared" si="19"/>
        <v>0</v>
      </c>
      <c r="AM38" s="356">
        <f t="shared" si="19"/>
        <v>0</v>
      </c>
      <c r="AN38" s="356">
        <f t="shared" si="15"/>
        <v>0</v>
      </c>
      <c r="AO38" s="356">
        <f t="shared" ref="AO38:BB38" si="21">IF($H38=AO$13,(($B38-1)/12)*SLN($D38,$E38,$F38),IF($C38=AO$13,((12-$G38)/12)*SLN($D38,$E38,$F38),IF(AND(AO$13&gt;$C38,AO$13&lt;$H38),SLN($D38,$E38,$F38),0)))</f>
        <v>0</v>
      </c>
      <c r="AP38" s="356">
        <f t="shared" si="21"/>
        <v>0</v>
      </c>
      <c r="AQ38" s="356">
        <f t="shared" si="21"/>
        <v>0</v>
      </c>
      <c r="AR38" s="356">
        <f t="shared" si="21"/>
        <v>0</v>
      </c>
      <c r="AS38" s="356">
        <f t="shared" si="21"/>
        <v>0</v>
      </c>
      <c r="AT38" s="356">
        <f t="shared" si="21"/>
        <v>0</v>
      </c>
      <c r="AU38" s="356">
        <f t="shared" si="21"/>
        <v>0</v>
      </c>
      <c r="AV38" s="356">
        <f t="shared" si="21"/>
        <v>0</v>
      </c>
      <c r="AW38" s="356">
        <f t="shared" si="21"/>
        <v>0</v>
      </c>
      <c r="AX38" s="356">
        <f t="shared" si="21"/>
        <v>0</v>
      </c>
      <c r="AY38" s="356">
        <f t="shared" si="21"/>
        <v>0</v>
      </c>
      <c r="AZ38" s="356">
        <f t="shared" si="21"/>
        <v>0</v>
      </c>
      <c r="BA38" s="356">
        <f t="shared" si="21"/>
        <v>0</v>
      </c>
      <c r="BB38" s="356">
        <f t="shared" si="21"/>
        <v>0</v>
      </c>
      <c r="BC38" s="344">
        <v>26</v>
      </c>
    </row>
    <row r="39" spans="1:55" x14ac:dyDescent="0.25">
      <c r="A39" s="1895"/>
      <c r="B39" s="1895"/>
      <c r="C39" s="2028"/>
      <c r="D39" s="1897"/>
      <c r="E39" s="1897"/>
      <c r="F39" s="1897"/>
      <c r="G39" s="358" t="str">
        <f t="shared" si="16"/>
        <v xml:space="preserve"> </v>
      </c>
      <c r="H39" s="1031">
        <f t="shared" si="17"/>
        <v>0</v>
      </c>
      <c r="I39" s="356" t="e">
        <f t="shared" si="4"/>
        <v>#DIV/0!</v>
      </c>
      <c r="J39" s="5" t="e">
        <f t="shared" si="18"/>
        <v>#DIV/0!</v>
      </c>
      <c r="K39" s="35" t="e">
        <f t="shared" si="6"/>
        <v>#DIV/0!</v>
      </c>
      <c r="L39" s="1032">
        <f t="shared" si="7"/>
        <v>0</v>
      </c>
      <c r="O39" s="356" t="e">
        <f t="shared" si="20"/>
        <v>#DIV/0!</v>
      </c>
      <c r="P39" s="356">
        <f t="shared" si="20"/>
        <v>0</v>
      </c>
      <c r="Q39" s="356">
        <f t="shared" si="20"/>
        <v>0</v>
      </c>
      <c r="R39" s="356">
        <f t="shared" si="20"/>
        <v>0</v>
      </c>
      <c r="S39" s="356">
        <f t="shared" si="20"/>
        <v>0</v>
      </c>
      <c r="T39" s="356">
        <f t="shared" si="20"/>
        <v>0</v>
      </c>
      <c r="U39" s="356">
        <f t="shared" si="20"/>
        <v>0</v>
      </c>
      <c r="V39" s="356">
        <f t="shared" si="20"/>
        <v>0</v>
      </c>
      <c r="W39" s="356">
        <f t="shared" si="20"/>
        <v>0</v>
      </c>
      <c r="X39" s="356">
        <f t="shared" si="20"/>
        <v>0</v>
      </c>
      <c r="Y39" s="356">
        <f t="shared" si="20"/>
        <v>0</v>
      </c>
      <c r="Z39" s="356">
        <f t="shared" si="20"/>
        <v>0</v>
      </c>
      <c r="AA39" s="356">
        <f t="shared" si="20"/>
        <v>0</v>
      </c>
      <c r="AB39" s="356">
        <f t="shared" si="20"/>
        <v>0</v>
      </c>
      <c r="AC39" s="356">
        <f t="shared" si="20"/>
        <v>0</v>
      </c>
      <c r="AD39" s="356">
        <f t="shared" si="20"/>
        <v>0</v>
      </c>
      <c r="AE39" s="356">
        <f t="shared" si="19"/>
        <v>0</v>
      </c>
      <c r="AF39" s="356">
        <f t="shared" si="19"/>
        <v>0</v>
      </c>
      <c r="AG39" s="356">
        <f t="shared" si="19"/>
        <v>0</v>
      </c>
      <c r="AH39" s="356">
        <f t="shared" si="19"/>
        <v>0</v>
      </c>
      <c r="AI39" s="356">
        <f t="shared" si="19"/>
        <v>0</v>
      </c>
      <c r="AJ39" s="356">
        <f t="shared" si="19"/>
        <v>0</v>
      </c>
      <c r="AK39" s="356">
        <f t="shared" si="19"/>
        <v>0</v>
      </c>
      <c r="AL39" s="356">
        <f t="shared" si="19"/>
        <v>0</v>
      </c>
      <c r="AM39" s="356">
        <f t="shared" si="19"/>
        <v>0</v>
      </c>
      <c r="AN39" s="356">
        <f t="shared" ref="AN39:BB58" si="22">IF($H39=AN$13,(($B39-1)/12)*SLN($D39,$E39,$F39),IF($C39=AN$13,((12-$G39)/12)*SLN($D39,$E39,$F39),IF(AND(AN$13&gt;$C39,AN$13&lt;$H39),SLN($D39,$E39,$F39),0)))</f>
        <v>0</v>
      </c>
      <c r="AO39" s="356">
        <f t="shared" si="22"/>
        <v>0</v>
      </c>
      <c r="AP39" s="356">
        <f t="shared" si="22"/>
        <v>0</v>
      </c>
      <c r="AQ39" s="356">
        <f t="shared" si="22"/>
        <v>0</v>
      </c>
      <c r="AR39" s="356">
        <f t="shared" si="22"/>
        <v>0</v>
      </c>
      <c r="AS39" s="356">
        <f t="shared" si="22"/>
        <v>0</v>
      </c>
      <c r="AT39" s="356">
        <f t="shared" si="22"/>
        <v>0</v>
      </c>
      <c r="AU39" s="356">
        <f t="shared" si="22"/>
        <v>0</v>
      </c>
      <c r="AV39" s="356">
        <f t="shared" si="22"/>
        <v>0</v>
      </c>
      <c r="AW39" s="356">
        <f t="shared" si="22"/>
        <v>0</v>
      </c>
      <c r="AX39" s="356">
        <f t="shared" si="22"/>
        <v>0</v>
      </c>
      <c r="AY39" s="356">
        <f t="shared" si="22"/>
        <v>0</v>
      </c>
      <c r="AZ39" s="356">
        <f t="shared" si="22"/>
        <v>0</v>
      </c>
      <c r="BA39" s="356">
        <f t="shared" si="22"/>
        <v>0</v>
      </c>
      <c r="BB39" s="356">
        <f t="shared" si="22"/>
        <v>0</v>
      </c>
      <c r="BC39" s="344">
        <v>27</v>
      </c>
    </row>
    <row r="40" spans="1:55" x14ac:dyDescent="0.25">
      <c r="A40" s="1895"/>
      <c r="B40" s="1895"/>
      <c r="C40" s="2028"/>
      <c r="D40" s="1897"/>
      <c r="E40" s="1897"/>
      <c r="F40" s="1897"/>
      <c r="G40" s="358" t="str">
        <f t="shared" si="16"/>
        <v xml:space="preserve"> </v>
      </c>
      <c r="H40" s="1031">
        <f t="shared" si="17"/>
        <v>0</v>
      </c>
      <c r="I40" s="356" t="e">
        <f t="shared" si="4"/>
        <v>#DIV/0!</v>
      </c>
      <c r="J40" s="5" t="e">
        <f t="shared" si="18"/>
        <v>#DIV/0!</v>
      </c>
      <c r="K40" s="35" t="e">
        <f t="shared" si="6"/>
        <v>#DIV/0!</v>
      </c>
      <c r="L40" s="1032">
        <f t="shared" si="7"/>
        <v>0</v>
      </c>
      <c r="O40" s="356" t="e">
        <f t="shared" si="20"/>
        <v>#DIV/0!</v>
      </c>
      <c r="P40" s="356">
        <f t="shared" si="20"/>
        <v>0</v>
      </c>
      <c r="Q40" s="356">
        <f t="shared" si="20"/>
        <v>0</v>
      </c>
      <c r="R40" s="356">
        <f t="shared" si="20"/>
        <v>0</v>
      </c>
      <c r="S40" s="356">
        <f t="shared" si="20"/>
        <v>0</v>
      </c>
      <c r="T40" s="356">
        <f t="shared" si="20"/>
        <v>0</v>
      </c>
      <c r="U40" s="356">
        <f t="shared" si="20"/>
        <v>0</v>
      </c>
      <c r="V40" s="356">
        <f t="shared" si="20"/>
        <v>0</v>
      </c>
      <c r="W40" s="356">
        <f t="shared" si="20"/>
        <v>0</v>
      </c>
      <c r="X40" s="356">
        <f t="shared" si="20"/>
        <v>0</v>
      </c>
      <c r="Y40" s="356">
        <f t="shared" si="20"/>
        <v>0</v>
      </c>
      <c r="Z40" s="356">
        <f t="shared" si="20"/>
        <v>0</v>
      </c>
      <c r="AA40" s="356">
        <f t="shared" si="20"/>
        <v>0</v>
      </c>
      <c r="AB40" s="356">
        <f t="shared" si="20"/>
        <v>0</v>
      </c>
      <c r="AC40" s="356">
        <f t="shared" si="20"/>
        <v>0</v>
      </c>
      <c r="AD40" s="356">
        <f t="shared" si="20"/>
        <v>0</v>
      </c>
      <c r="AE40" s="356">
        <f t="shared" si="19"/>
        <v>0</v>
      </c>
      <c r="AF40" s="356">
        <f t="shared" si="19"/>
        <v>0</v>
      </c>
      <c r="AG40" s="356">
        <f t="shared" si="19"/>
        <v>0</v>
      </c>
      <c r="AH40" s="356">
        <f t="shared" si="19"/>
        <v>0</v>
      </c>
      <c r="AI40" s="356">
        <f t="shared" si="19"/>
        <v>0</v>
      </c>
      <c r="AJ40" s="356">
        <f t="shared" si="19"/>
        <v>0</v>
      </c>
      <c r="AK40" s="356">
        <f t="shared" si="19"/>
        <v>0</v>
      </c>
      <c r="AL40" s="356">
        <f t="shared" si="19"/>
        <v>0</v>
      </c>
      <c r="AM40" s="356">
        <f t="shared" si="19"/>
        <v>0</v>
      </c>
      <c r="AN40" s="356">
        <f t="shared" si="22"/>
        <v>0</v>
      </c>
      <c r="AO40" s="356">
        <f t="shared" si="22"/>
        <v>0</v>
      </c>
      <c r="AP40" s="356">
        <f t="shared" si="22"/>
        <v>0</v>
      </c>
      <c r="AQ40" s="356">
        <f t="shared" si="22"/>
        <v>0</v>
      </c>
      <c r="AR40" s="356">
        <f t="shared" si="22"/>
        <v>0</v>
      </c>
      <c r="AS40" s="356">
        <f t="shared" si="22"/>
        <v>0</v>
      </c>
      <c r="AT40" s="356">
        <f t="shared" si="22"/>
        <v>0</v>
      </c>
      <c r="AU40" s="356">
        <f t="shared" si="22"/>
        <v>0</v>
      </c>
      <c r="AV40" s="356">
        <f t="shared" si="22"/>
        <v>0</v>
      </c>
      <c r="AW40" s="356">
        <f t="shared" si="22"/>
        <v>0</v>
      </c>
      <c r="AX40" s="356">
        <f t="shared" si="22"/>
        <v>0</v>
      </c>
      <c r="AY40" s="356">
        <f t="shared" si="22"/>
        <v>0</v>
      </c>
      <c r="AZ40" s="356">
        <f t="shared" si="22"/>
        <v>0</v>
      </c>
      <c r="BA40" s="356">
        <f t="shared" si="22"/>
        <v>0</v>
      </c>
      <c r="BB40" s="356">
        <f t="shared" si="22"/>
        <v>0</v>
      </c>
      <c r="BC40" s="344">
        <v>28</v>
      </c>
    </row>
    <row r="41" spans="1:55" x14ac:dyDescent="0.25">
      <c r="A41" s="1895"/>
      <c r="B41" s="1895"/>
      <c r="C41" s="2028"/>
      <c r="D41" s="1897"/>
      <c r="E41" s="1897"/>
      <c r="F41" s="1897"/>
      <c r="G41" s="358" t="str">
        <f t="shared" si="16"/>
        <v xml:space="preserve"> </v>
      </c>
      <c r="H41" s="1031">
        <f t="shared" si="17"/>
        <v>0</v>
      </c>
      <c r="I41" s="356" t="e">
        <f t="shared" si="4"/>
        <v>#DIV/0!</v>
      </c>
      <c r="J41" s="5" t="e">
        <f t="shared" si="18"/>
        <v>#DIV/0!</v>
      </c>
      <c r="K41" s="35" t="e">
        <f t="shared" si="6"/>
        <v>#DIV/0!</v>
      </c>
      <c r="L41" s="1032">
        <f t="shared" si="7"/>
        <v>0</v>
      </c>
      <c r="O41" s="356" t="e">
        <f t="shared" si="20"/>
        <v>#DIV/0!</v>
      </c>
      <c r="P41" s="356">
        <f t="shared" si="20"/>
        <v>0</v>
      </c>
      <c r="Q41" s="356">
        <f t="shared" si="20"/>
        <v>0</v>
      </c>
      <c r="R41" s="356">
        <f t="shared" si="20"/>
        <v>0</v>
      </c>
      <c r="S41" s="356">
        <f t="shared" si="20"/>
        <v>0</v>
      </c>
      <c r="T41" s="356">
        <f t="shared" si="20"/>
        <v>0</v>
      </c>
      <c r="U41" s="356">
        <f t="shared" si="20"/>
        <v>0</v>
      </c>
      <c r="V41" s="356">
        <f t="shared" si="20"/>
        <v>0</v>
      </c>
      <c r="W41" s="356">
        <f t="shared" si="20"/>
        <v>0</v>
      </c>
      <c r="X41" s="356">
        <f t="shared" si="20"/>
        <v>0</v>
      </c>
      <c r="Y41" s="356">
        <f t="shared" si="20"/>
        <v>0</v>
      </c>
      <c r="Z41" s="356">
        <f t="shared" si="20"/>
        <v>0</v>
      </c>
      <c r="AA41" s="356">
        <f t="shared" si="20"/>
        <v>0</v>
      </c>
      <c r="AB41" s="356">
        <f t="shared" si="20"/>
        <v>0</v>
      </c>
      <c r="AC41" s="356">
        <f t="shared" si="20"/>
        <v>0</v>
      </c>
      <c r="AD41" s="356">
        <f t="shared" si="20"/>
        <v>0</v>
      </c>
      <c r="AE41" s="356">
        <f t="shared" si="19"/>
        <v>0</v>
      </c>
      <c r="AF41" s="356">
        <f t="shared" si="19"/>
        <v>0</v>
      </c>
      <c r="AG41" s="356">
        <f t="shared" si="19"/>
        <v>0</v>
      </c>
      <c r="AH41" s="356">
        <f t="shared" si="19"/>
        <v>0</v>
      </c>
      <c r="AI41" s="356">
        <f t="shared" si="19"/>
        <v>0</v>
      </c>
      <c r="AJ41" s="356">
        <f t="shared" si="19"/>
        <v>0</v>
      </c>
      <c r="AK41" s="356">
        <f t="shared" si="19"/>
        <v>0</v>
      </c>
      <c r="AL41" s="356">
        <f t="shared" si="19"/>
        <v>0</v>
      </c>
      <c r="AM41" s="356">
        <f t="shared" si="19"/>
        <v>0</v>
      </c>
      <c r="AN41" s="356">
        <f t="shared" si="22"/>
        <v>0</v>
      </c>
      <c r="AO41" s="356">
        <f t="shared" si="22"/>
        <v>0</v>
      </c>
      <c r="AP41" s="356">
        <f t="shared" si="22"/>
        <v>0</v>
      </c>
      <c r="AQ41" s="356">
        <f t="shared" si="22"/>
        <v>0</v>
      </c>
      <c r="AR41" s="356">
        <f t="shared" si="22"/>
        <v>0</v>
      </c>
      <c r="AS41" s="356">
        <f t="shared" si="22"/>
        <v>0</v>
      </c>
      <c r="AT41" s="356">
        <f t="shared" si="22"/>
        <v>0</v>
      </c>
      <c r="AU41" s="356">
        <f t="shared" si="22"/>
        <v>0</v>
      </c>
      <c r="AV41" s="356">
        <f t="shared" si="22"/>
        <v>0</v>
      </c>
      <c r="AW41" s="356">
        <f t="shared" si="22"/>
        <v>0</v>
      </c>
      <c r="AX41" s="356">
        <f t="shared" si="22"/>
        <v>0</v>
      </c>
      <c r="AY41" s="356">
        <f t="shared" si="22"/>
        <v>0</v>
      </c>
      <c r="AZ41" s="356">
        <f t="shared" si="22"/>
        <v>0</v>
      </c>
      <c r="BA41" s="356">
        <f t="shared" si="22"/>
        <v>0</v>
      </c>
      <c r="BB41" s="356">
        <f t="shared" si="22"/>
        <v>0</v>
      </c>
      <c r="BC41" s="344">
        <v>29</v>
      </c>
    </row>
    <row r="42" spans="1:55" x14ac:dyDescent="0.25">
      <c r="A42" s="1895"/>
      <c r="B42" s="1895"/>
      <c r="C42" s="2028"/>
      <c r="D42" s="1897"/>
      <c r="E42" s="1897"/>
      <c r="F42" s="1897"/>
      <c r="G42" s="358" t="str">
        <f t="shared" si="16"/>
        <v xml:space="preserve"> </v>
      </c>
      <c r="H42" s="1031">
        <f t="shared" si="17"/>
        <v>0</v>
      </c>
      <c r="I42" s="356" t="e">
        <f t="shared" si="4"/>
        <v>#DIV/0!</v>
      </c>
      <c r="J42" s="5" t="e">
        <f t="shared" si="18"/>
        <v>#DIV/0!</v>
      </c>
      <c r="K42" s="35" t="e">
        <f t="shared" si="6"/>
        <v>#DIV/0!</v>
      </c>
      <c r="L42" s="1032">
        <f t="shared" si="7"/>
        <v>0</v>
      </c>
      <c r="O42" s="356" t="e">
        <f t="shared" si="20"/>
        <v>#DIV/0!</v>
      </c>
      <c r="P42" s="356">
        <f t="shared" si="20"/>
        <v>0</v>
      </c>
      <c r="Q42" s="356">
        <f t="shared" si="20"/>
        <v>0</v>
      </c>
      <c r="R42" s="356">
        <f t="shared" si="20"/>
        <v>0</v>
      </c>
      <c r="S42" s="356">
        <f t="shared" si="20"/>
        <v>0</v>
      </c>
      <c r="T42" s="356">
        <f t="shared" si="20"/>
        <v>0</v>
      </c>
      <c r="U42" s="356">
        <f t="shared" si="20"/>
        <v>0</v>
      </c>
      <c r="V42" s="356">
        <f t="shared" si="20"/>
        <v>0</v>
      </c>
      <c r="W42" s="356">
        <f t="shared" si="20"/>
        <v>0</v>
      </c>
      <c r="X42" s="356">
        <f t="shared" si="20"/>
        <v>0</v>
      </c>
      <c r="Y42" s="356">
        <f t="shared" si="20"/>
        <v>0</v>
      </c>
      <c r="Z42" s="356">
        <f t="shared" si="20"/>
        <v>0</v>
      </c>
      <c r="AA42" s="356">
        <f t="shared" si="20"/>
        <v>0</v>
      </c>
      <c r="AB42" s="356">
        <f t="shared" si="20"/>
        <v>0</v>
      </c>
      <c r="AC42" s="356">
        <f t="shared" si="20"/>
        <v>0</v>
      </c>
      <c r="AD42" s="356">
        <f t="shared" si="20"/>
        <v>0</v>
      </c>
      <c r="AE42" s="356">
        <f t="shared" si="19"/>
        <v>0</v>
      </c>
      <c r="AF42" s="356">
        <f t="shared" si="19"/>
        <v>0</v>
      </c>
      <c r="AG42" s="356">
        <f t="shared" si="19"/>
        <v>0</v>
      </c>
      <c r="AH42" s="356">
        <f t="shared" si="19"/>
        <v>0</v>
      </c>
      <c r="AI42" s="356">
        <f t="shared" si="19"/>
        <v>0</v>
      </c>
      <c r="AJ42" s="356">
        <f t="shared" si="19"/>
        <v>0</v>
      </c>
      <c r="AK42" s="356">
        <f t="shared" si="19"/>
        <v>0</v>
      </c>
      <c r="AL42" s="356">
        <f t="shared" si="19"/>
        <v>0</v>
      </c>
      <c r="AM42" s="356">
        <f t="shared" si="19"/>
        <v>0</v>
      </c>
      <c r="AN42" s="356">
        <f t="shared" si="22"/>
        <v>0</v>
      </c>
      <c r="AO42" s="356">
        <f t="shared" si="22"/>
        <v>0</v>
      </c>
      <c r="AP42" s="356">
        <f t="shared" si="22"/>
        <v>0</v>
      </c>
      <c r="AQ42" s="356">
        <f t="shared" si="22"/>
        <v>0</v>
      </c>
      <c r="AR42" s="356">
        <f t="shared" si="22"/>
        <v>0</v>
      </c>
      <c r="AS42" s="356">
        <f t="shared" si="22"/>
        <v>0</v>
      </c>
      <c r="AT42" s="356">
        <f t="shared" si="22"/>
        <v>0</v>
      </c>
      <c r="AU42" s="356">
        <f t="shared" si="22"/>
        <v>0</v>
      </c>
      <c r="AV42" s="356">
        <f t="shared" si="22"/>
        <v>0</v>
      </c>
      <c r="AW42" s="356">
        <f t="shared" si="22"/>
        <v>0</v>
      </c>
      <c r="AX42" s="356">
        <f t="shared" si="22"/>
        <v>0</v>
      </c>
      <c r="AY42" s="356">
        <f t="shared" si="22"/>
        <v>0</v>
      </c>
      <c r="AZ42" s="356">
        <f t="shared" si="22"/>
        <v>0</v>
      </c>
      <c r="BA42" s="356">
        <f t="shared" si="22"/>
        <v>0</v>
      </c>
      <c r="BB42" s="356">
        <f t="shared" si="22"/>
        <v>0</v>
      </c>
      <c r="BC42" s="344">
        <v>30</v>
      </c>
    </row>
    <row r="43" spans="1:55" x14ac:dyDescent="0.25">
      <c r="A43" s="1895"/>
      <c r="B43" s="1895"/>
      <c r="C43" s="2028"/>
      <c r="D43" s="1897"/>
      <c r="E43" s="1897"/>
      <c r="F43" s="1897"/>
      <c r="G43" s="358" t="str">
        <f t="shared" si="16"/>
        <v xml:space="preserve"> </v>
      </c>
      <c r="H43" s="1031">
        <f t="shared" si="17"/>
        <v>0</v>
      </c>
      <c r="I43" s="356" t="e">
        <f t="shared" si="4"/>
        <v>#DIV/0!</v>
      </c>
      <c r="J43" s="5" t="e">
        <f t="shared" si="18"/>
        <v>#DIV/0!</v>
      </c>
      <c r="K43" s="35" t="e">
        <f t="shared" si="6"/>
        <v>#DIV/0!</v>
      </c>
      <c r="L43" s="1032">
        <f t="shared" si="7"/>
        <v>0</v>
      </c>
      <c r="O43" s="356" t="e">
        <f t="shared" si="20"/>
        <v>#DIV/0!</v>
      </c>
      <c r="P43" s="356">
        <f t="shared" si="20"/>
        <v>0</v>
      </c>
      <c r="Q43" s="356">
        <f t="shared" si="20"/>
        <v>0</v>
      </c>
      <c r="R43" s="356">
        <f t="shared" si="20"/>
        <v>0</v>
      </c>
      <c r="S43" s="356">
        <f t="shared" si="20"/>
        <v>0</v>
      </c>
      <c r="T43" s="356">
        <f t="shared" si="20"/>
        <v>0</v>
      </c>
      <c r="U43" s="356">
        <f t="shared" si="20"/>
        <v>0</v>
      </c>
      <c r="V43" s="356">
        <f t="shared" si="20"/>
        <v>0</v>
      </c>
      <c r="W43" s="356">
        <f t="shared" si="20"/>
        <v>0</v>
      </c>
      <c r="X43" s="356">
        <f t="shared" si="20"/>
        <v>0</v>
      </c>
      <c r="Y43" s="356">
        <f t="shared" si="20"/>
        <v>0</v>
      </c>
      <c r="Z43" s="356">
        <f t="shared" si="20"/>
        <v>0</v>
      </c>
      <c r="AA43" s="356">
        <f t="shared" si="20"/>
        <v>0</v>
      </c>
      <c r="AB43" s="356">
        <f t="shared" si="20"/>
        <v>0</v>
      </c>
      <c r="AC43" s="356">
        <f t="shared" si="20"/>
        <v>0</v>
      </c>
      <c r="AD43" s="356">
        <f t="shared" si="20"/>
        <v>0</v>
      </c>
      <c r="AE43" s="356">
        <f t="shared" si="19"/>
        <v>0</v>
      </c>
      <c r="AF43" s="356">
        <f t="shared" si="19"/>
        <v>0</v>
      </c>
      <c r="AG43" s="356">
        <f t="shared" si="19"/>
        <v>0</v>
      </c>
      <c r="AH43" s="356">
        <f t="shared" si="19"/>
        <v>0</v>
      </c>
      <c r="AI43" s="356">
        <f t="shared" si="19"/>
        <v>0</v>
      </c>
      <c r="AJ43" s="356">
        <f t="shared" si="19"/>
        <v>0</v>
      </c>
      <c r="AK43" s="356">
        <f t="shared" si="19"/>
        <v>0</v>
      </c>
      <c r="AL43" s="356">
        <f t="shared" si="19"/>
        <v>0</v>
      </c>
      <c r="AM43" s="356">
        <f t="shared" si="19"/>
        <v>0</v>
      </c>
      <c r="AN43" s="356">
        <f t="shared" si="22"/>
        <v>0</v>
      </c>
      <c r="AO43" s="356">
        <f t="shared" si="22"/>
        <v>0</v>
      </c>
      <c r="AP43" s="356">
        <f t="shared" si="22"/>
        <v>0</v>
      </c>
      <c r="AQ43" s="356">
        <f t="shared" si="22"/>
        <v>0</v>
      </c>
      <c r="AR43" s="356">
        <f t="shared" si="22"/>
        <v>0</v>
      </c>
      <c r="AS43" s="356">
        <f t="shared" si="22"/>
        <v>0</v>
      </c>
      <c r="AT43" s="356">
        <f t="shared" si="22"/>
        <v>0</v>
      </c>
      <c r="AU43" s="356">
        <f t="shared" si="22"/>
        <v>0</v>
      </c>
      <c r="AV43" s="356">
        <f t="shared" si="22"/>
        <v>0</v>
      </c>
      <c r="AW43" s="356">
        <f t="shared" si="22"/>
        <v>0</v>
      </c>
      <c r="AX43" s="356">
        <f t="shared" si="22"/>
        <v>0</v>
      </c>
      <c r="AY43" s="356">
        <f t="shared" si="22"/>
        <v>0</v>
      </c>
      <c r="AZ43" s="356">
        <f t="shared" si="22"/>
        <v>0</v>
      </c>
      <c r="BA43" s="356">
        <f t="shared" si="22"/>
        <v>0</v>
      </c>
      <c r="BB43" s="356">
        <f t="shared" si="22"/>
        <v>0</v>
      </c>
      <c r="BC43" s="344">
        <v>31</v>
      </c>
    </row>
    <row r="44" spans="1:55" x14ac:dyDescent="0.25">
      <c r="A44" s="1895"/>
      <c r="B44" s="1895"/>
      <c r="C44" s="2028"/>
      <c r="D44" s="1897"/>
      <c r="E44" s="1897"/>
      <c r="F44" s="1897"/>
      <c r="G44" s="358" t="str">
        <f t="shared" si="16"/>
        <v xml:space="preserve"> </v>
      </c>
      <c r="H44" s="1031">
        <f t="shared" si="17"/>
        <v>0</v>
      </c>
      <c r="I44" s="356" t="e">
        <f t="shared" si="4"/>
        <v>#DIV/0!</v>
      </c>
      <c r="J44" s="5" t="e">
        <f t="shared" si="18"/>
        <v>#DIV/0!</v>
      </c>
      <c r="K44" s="35" t="e">
        <f t="shared" si="6"/>
        <v>#DIV/0!</v>
      </c>
      <c r="L44" s="1032">
        <f t="shared" si="7"/>
        <v>0</v>
      </c>
      <c r="O44" s="356" t="e">
        <f t="shared" si="20"/>
        <v>#DIV/0!</v>
      </c>
      <c r="P44" s="356">
        <f t="shared" si="20"/>
        <v>0</v>
      </c>
      <c r="Q44" s="356">
        <f t="shared" si="20"/>
        <v>0</v>
      </c>
      <c r="R44" s="356">
        <f t="shared" si="20"/>
        <v>0</v>
      </c>
      <c r="S44" s="356">
        <f t="shared" si="20"/>
        <v>0</v>
      </c>
      <c r="T44" s="356">
        <f t="shared" si="20"/>
        <v>0</v>
      </c>
      <c r="U44" s="356">
        <f t="shared" si="20"/>
        <v>0</v>
      </c>
      <c r="V44" s="356">
        <f t="shared" si="20"/>
        <v>0</v>
      </c>
      <c r="W44" s="356">
        <f t="shared" si="20"/>
        <v>0</v>
      </c>
      <c r="X44" s="356">
        <f t="shared" si="20"/>
        <v>0</v>
      </c>
      <c r="Y44" s="356">
        <f t="shared" si="20"/>
        <v>0</v>
      </c>
      <c r="Z44" s="356">
        <f t="shared" si="20"/>
        <v>0</v>
      </c>
      <c r="AA44" s="356">
        <f t="shared" si="20"/>
        <v>0</v>
      </c>
      <c r="AB44" s="356">
        <f t="shared" si="20"/>
        <v>0</v>
      </c>
      <c r="AC44" s="356">
        <f t="shared" si="20"/>
        <v>0</v>
      </c>
      <c r="AD44" s="356">
        <f t="shared" si="20"/>
        <v>0</v>
      </c>
      <c r="AE44" s="356">
        <f t="shared" si="19"/>
        <v>0</v>
      </c>
      <c r="AF44" s="356">
        <f t="shared" si="19"/>
        <v>0</v>
      </c>
      <c r="AG44" s="356">
        <f t="shared" si="19"/>
        <v>0</v>
      </c>
      <c r="AH44" s="356">
        <f t="shared" si="19"/>
        <v>0</v>
      </c>
      <c r="AI44" s="356">
        <f t="shared" si="19"/>
        <v>0</v>
      </c>
      <c r="AJ44" s="356">
        <f t="shared" si="19"/>
        <v>0</v>
      </c>
      <c r="AK44" s="356">
        <f t="shared" si="19"/>
        <v>0</v>
      </c>
      <c r="AL44" s="356">
        <f t="shared" si="19"/>
        <v>0</v>
      </c>
      <c r="AM44" s="356">
        <f t="shared" si="19"/>
        <v>0</v>
      </c>
      <c r="AN44" s="356">
        <f t="shared" si="22"/>
        <v>0</v>
      </c>
      <c r="AO44" s="356">
        <f t="shared" si="22"/>
        <v>0</v>
      </c>
      <c r="AP44" s="356">
        <f t="shared" si="22"/>
        <v>0</v>
      </c>
      <c r="AQ44" s="356">
        <f t="shared" si="22"/>
        <v>0</v>
      </c>
      <c r="AR44" s="356">
        <f t="shared" si="22"/>
        <v>0</v>
      </c>
      <c r="AS44" s="356">
        <f t="shared" si="22"/>
        <v>0</v>
      </c>
      <c r="AT44" s="356">
        <f t="shared" si="22"/>
        <v>0</v>
      </c>
      <c r="AU44" s="356">
        <f t="shared" si="22"/>
        <v>0</v>
      </c>
      <c r="AV44" s="356">
        <f t="shared" si="22"/>
        <v>0</v>
      </c>
      <c r="AW44" s="356">
        <f t="shared" si="22"/>
        <v>0</v>
      </c>
      <c r="AX44" s="356">
        <f t="shared" si="22"/>
        <v>0</v>
      </c>
      <c r="AY44" s="356">
        <f t="shared" si="22"/>
        <v>0</v>
      </c>
      <c r="AZ44" s="356">
        <f t="shared" si="22"/>
        <v>0</v>
      </c>
      <c r="BA44" s="356">
        <f t="shared" si="22"/>
        <v>0</v>
      </c>
      <c r="BB44" s="356">
        <f t="shared" si="22"/>
        <v>0</v>
      </c>
      <c r="BC44" s="344">
        <v>32</v>
      </c>
    </row>
    <row r="45" spans="1:55" x14ac:dyDescent="0.25">
      <c r="A45" s="1895"/>
      <c r="B45" s="1895"/>
      <c r="C45" s="2028"/>
      <c r="D45" s="1897"/>
      <c r="E45" s="1897"/>
      <c r="F45" s="1897"/>
      <c r="G45" s="358" t="str">
        <f t="shared" si="16"/>
        <v xml:space="preserve"> </v>
      </c>
      <c r="H45" s="1031">
        <f t="shared" si="17"/>
        <v>0</v>
      </c>
      <c r="I45" s="356" t="e">
        <f t="shared" si="4"/>
        <v>#DIV/0!</v>
      </c>
      <c r="J45" s="5" t="e">
        <f t="shared" si="18"/>
        <v>#DIV/0!</v>
      </c>
      <c r="K45" s="35" t="e">
        <f t="shared" si="6"/>
        <v>#DIV/0!</v>
      </c>
      <c r="L45" s="1032">
        <f t="shared" si="7"/>
        <v>0</v>
      </c>
      <c r="O45" s="356" t="e">
        <f t="shared" si="20"/>
        <v>#DIV/0!</v>
      </c>
      <c r="P45" s="356">
        <f t="shared" si="20"/>
        <v>0</v>
      </c>
      <c r="Q45" s="356">
        <f t="shared" si="20"/>
        <v>0</v>
      </c>
      <c r="R45" s="356">
        <f t="shared" si="20"/>
        <v>0</v>
      </c>
      <c r="S45" s="356">
        <f t="shared" si="20"/>
        <v>0</v>
      </c>
      <c r="T45" s="356">
        <f t="shared" si="20"/>
        <v>0</v>
      </c>
      <c r="U45" s="356">
        <f t="shared" si="20"/>
        <v>0</v>
      </c>
      <c r="V45" s="356">
        <f t="shared" si="20"/>
        <v>0</v>
      </c>
      <c r="W45" s="356">
        <f t="shared" si="20"/>
        <v>0</v>
      </c>
      <c r="X45" s="356">
        <f t="shared" si="20"/>
        <v>0</v>
      </c>
      <c r="Y45" s="356">
        <f t="shared" si="20"/>
        <v>0</v>
      </c>
      <c r="Z45" s="356">
        <f t="shared" si="20"/>
        <v>0</v>
      </c>
      <c r="AA45" s="356">
        <f t="shared" si="20"/>
        <v>0</v>
      </c>
      <c r="AB45" s="356">
        <f t="shared" si="20"/>
        <v>0</v>
      </c>
      <c r="AC45" s="356">
        <f t="shared" si="20"/>
        <v>0</v>
      </c>
      <c r="AD45" s="356">
        <f t="shared" si="20"/>
        <v>0</v>
      </c>
      <c r="AE45" s="356">
        <f t="shared" si="19"/>
        <v>0</v>
      </c>
      <c r="AF45" s="356">
        <f t="shared" si="19"/>
        <v>0</v>
      </c>
      <c r="AG45" s="356">
        <f t="shared" si="19"/>
        <v>0</v>
      </c>
      <c r="AH45" s="356">
        <f t="shared" si="19"/>
        <v>0</v>
      </c>
      <c r="AI45" s="356">
        <f t="shared" si="19"/>
        <v>0</v>
      </c>
      <c r="AJ45" s="356">
        <f t="shared" si="19"/>
        <v>0</v>
      </c>
      <c r="AK45" s="356">
        <f t="shared" si="19"/>
        <v>0</v>
      </c>
      <c r="AL45" s="356">
        <f t="shared" si="19"/>
        <v>0</v>
      </c>
      <c r="AM45" s="356">
        <f t="shared" si="19"/>
        <v>0</v>
      </c>
      <c r="AN45" s="356">
        <f t="shared" si="22"/>
        <v>0</v>
      </c>
      <c r="AO45" s="356">
        <f t="shared" si="22"/>
        <v>0</v>
      </c>
      <c r="AP45" s="356">
        <f t="shared" si="22"/>
        <v>0</v>
      </c>
      <c r="AQ45" s="356">
        <f t="shared" si="22"/>
        <v>0</v>
      </c>
      <c r="AR45" s="356">
        <f t="shared" si="22"/>
        <v>0</v>
      </c>
      <c r="AS45" s="356">
        <f t="shared" si="22"/>
        <v>0</v>
      </c>
      <c r="AT45" s="356">
        <f t="shared" si="22"/>
        <v>0</v>
      </c>
      <c r="AU45" s="356">
        <f t="shared" si="22"/>
        <v>0</v>
      </c>
      <c r="AV45" s="356">
        <f t="shared" si="22"/>
        <v>0</v>
      </c>
      <c r="AW45" s="356">
        <f t="shared" si="22"/>
        <v>0</v>
      </c>
      <c r="AX45" s="356">
        <f t="shared" si="22"/>
        <v>0</v>
      </c>
      <c r="AY45" s="356">
        <f t="shared" si="22"/>
        <v>0</v>
      </c>
      <c r="AZ45" s="356">
        <f t="shared" si="22"/>
        <v>0</v>
      </c>
      <c r="BA45" s="356">
        <f t="shared" si="22"/>
        <v>0</v>
      </c>
      <c r="BB45" s="356">
        <f t="shared" si="22"/>
        <v>0</v>
      </c>
      <c r="BC45" s="344">
        <v>33</v>
      </c>
    </row>
    <row r="46" spans="1:55" x14ac:dyDescent="0.25">
      <c r="A46" s="1895"/>
      <c r="B46" s="1895"/>
      <c r="C46" s="2028"/>
      <c r="D46" s="1897"/>
      <c r="E46" s="1897"/>
      <c r="F46" s="1897"/>
      <c r="G46" s="358" t="str">
        <f t="shared" si="16"/>
        <v xml:space="preserve"> </v>
      </c>
      <c r="H46" s="1031">
        <f t="shared" si="17"/>
        <v>0</v>
      </c>
      <c r="I46" s="356" t="e">
        <f t="shared" ref="I46:I62" si="23">HLOOKUP($B$11,$O$13:$BB$116,BC46,FALSE)</f>
        <v>#DIV/0!</v>
      </c>
      <c r="J46" s="5" t="e">
        <f t="shared" si="18"/>
        <v>#DIV/0!</v>
      </c>
      <c r="K46" s="35" t="e">
        <f t="shared" ref="K46:K62" si="24">IF(C46&gt;$B$11,0,D46-J46)</f>
        <v>#DIV/0!</v>
      </c>
      <c r="L46" s="1032">
        <f t="shared" ref="L46:L62" si="25">IF(((D46-E46)*(1-(0.05*($B$11-C46))))&lt;0,0,((D46-E46)*(1-(0.05*($B$11-C46)))))</f>
        <v>0</v>
      </c>
      <c r="O46" s="356" t="e">
        <f t="shared" si="20"/>
        <v>#DIV/0!</v>
      </c>
      <c r="P46" s="356">
        <f t="shared" si="20"/>
        <v>0</v>
      </c>
      <c r="Q46" s="356">
        <f t="shared" si="20"/>
        <v>0</v>
      </c>
      <c r="R46" s="356">
        <f t="shared" si="20"/>
        <v>0</v>
      </c>
      <c r="S46" s="356">
        <f t="shared" si="20"/>
        <v>0</v>
      </c>
      <c r="T46" s="356">
        <f t="shared" si="20"/>
        <v>0</v>
      </c>
      <c r="U46" s="356">
        <f t="shared" si="20"/>
        <v>0</v>
      </c>
      <c r="V46" s="356">
        <f t="shared" si="20"/>
        <v>0</v>
      </c>
      <c r="W46" s="356">
        <f t="shared" si="20"/>
        <v>0</v>
      </c>
      <c r="X46" s="356">
        <f t="shared" si="20"/>
        <v>0</v>
      </c>
      <c r="Y46" s="356">
        <f t="shared" si="20"/>
        <v>0</v>
      </c>
      <c r="Z46" s="356">
        <f t="shared" si="20"/>
        <v>0</v>
      </c>
      <c r="AA46" s="356">
        <f t="shared" si="20"/>
        <v>0</v>
      </c>
      <c r="AB46" s="356">
        <f t="shared" si="20"/>
        <v>0</v>
      </c>
      <c r="AC46" s="356">
        <f t="shared" si="20"/>
        <v>0</v>
      </c>
      <c r="AD46" s="356">
        <f t="shared" si="20"/>
        <v>0</v>
      </c>
      <c r="AE46" s="356">
        <f t="shared" si="19"/>
        <v>0</v>
      </c>
      <c r="AF46" s="356">
        <f t="shared" si="19"/>
        <v>0</v>
      </c>
      <c r="AG46" s="356">
        <f t="shared" si="19"/>
        <v>0</v>
      </c>
      <c r="AH46" s="356">
        <f t="shared" si="19"/>
        <v>0</v>
      </c>
      <c r="AI46" s="356">
        <f t="shared" si="19"/>
        <v>0</v>
      </c>
      <c r="AJ46" s="356">
        <f t="shared" si="19"/>
        <v>0</v>
      </c>
      <c r="AK46" s="356">
        <f t="shared" si="19"/>
        <v>0</v>
      </c>
      <c r="AL46" s="356">
        <f t="shared" si="19"/>
        <v>0</v>
      </c>
      <c r="AM46" s="356">
        <f t="shared" si="19"/>
        <v>0</v>
      </c>
      <c r="AN46" s="356">
        <f t="shared" si="22"/>
        <v>0</v>
      </c>
      <c r="AO46" s="356">
        <f t="shared" si="22"/>
        <v>0</v>
      </c>
      <c r="AP46" s="356">
        <f t="shared" si="22"/>
        <v>0</v>
      </c>
      <c r="AQ46" s="356">
        <f t="shared" si="22"/>
        <v>0</v>
      </c>
      <c r="AR46" s="356">
        <f t="shared" si="22"/>
        <v>0</v>
      </c>
      <c r="AS46" s="356">
        <f t="shared" si="22"/>
        <v>0</v>
      </c>
      <c r="AT46" s="356">
        <f t="shared" si="22"/>
        <v>0</v>
      </c>
      <c r="AU46" s="356">
        <f t="shared" si="22"/>
        <v>0</v>
      </c>
      <c r="AV46" s="356">
        <f t="shared" si="22"/>
        <v>0</v>
      </c>
      <c r="AW46" s="356">
        <f t="shared" si="22"/>
        <v>0</v>
      </c>
      <c r="AX46" s="356">
        <f t="shared" si="22"/>
        <v>0</v>
      </c>
      <c r="AY46" s="356">
        <f t="shared" si="22"/>
        <v>0</v>
      </c>
      <c r="AZ46" s="356">
        <f t="shared" si="22"/>
        <v>0</v>
      </c>
      <c r="BA46" s="356">
        <f t="shared" si="22"/>
        <v>0</v>
      </c>
      <c r="BB46" s="356">
        <f t="shared" si="22"/>
        <v>0</v>
      </c>
      <c r="BC46" s="344">
        <v>34</v>
      </c>
    </row>
    <row r="47" spans="1:55" x14ac:dyDescent="0.25">
      <c r="A47" s="1895"/>
      <c r="B47" s="1895"/>
      <c r="C47" s="2028"/>
      <c r="D47" s="1897"/>
      <c r="E47" s="1897"/>
      <c r="F47" s="1897"/>
      <c r="G47" s="358" t="str">
        <f t="shared" si="16"/>
        <v xml:space="preserve"> </v>
      </c>
      <c r="H47" s="1031">
        <f t="shared" si="17"/>
        <v>0</v>
      </c>
      <c r="I47" s="356" t="e">
        <f t="shared" si="23"/>
        <v>#DIV/0!</v>
      </c>
      <c r="J47" s="5" t="e">
        <f t="shared" si="18"/>
        <v>#DIV/0!</v>
      </c>
      <c r="K47" s="35" t="e">
        <f t="shared" si="24"/>
        <v>#DIV/0!</v>
      </c>
      <c r="L47" s="1032">
        <f t="shared" si="25"/>
        <v>0</v>
      </c>
      <c r="O47" s="356" t="e">
        <f t="shared" si="20"/>
        <v>#DIV/0!</v>
      </c>
      <c r="P47" s="356">
        <f t="shared" si="20"/>
        <v>0</v>
      </c>
      <c r="Q47" s="356">
        <f t="shared" si="20"/>
        <v>0</v>
      </c>
      <c r="R47" s="356">
        <f t="shared" si="20"/>
        <v>0</v>
      </c>
      <c r="S47" s="356">
        <f t="shared" si="20"/>
        <v>0</v>
      </c>
      <c r="T47" s="356">
        <f t="shared" si="20"/>
        <v>0</v>
      </c>
      <c r="U47" s="356">
        <f t="shared" si="20"/>
        <v>0</v>
      </c>
      <c r="V47" s="356">
        <f t="shared" si="20"/>
        <v>0</v>
      </c>
      <c r="W47" s="356">
        <f t="shared" si="20"/>
        <v>0</v>
      </c>
      <c r="X47" s="356">
        <f t="shared" si="20"/>
        <v>0</v>
      </c>
      <c r="Y47" s="356">
        <f t="shared" si="20"/>
        <v>0</v>
      </c>
      <c r="Z47" s="356">
        <f t="shared" si="20"/>
        <v>0</v>
      </c>
      <c r="AA47" s="356">
        <f t="shared" si="20"/>
        <v>0</v>
      </c>
      <c r="AB47" s="356">
        <f t="shared" si="20"/>
        <v>0</v>
      </c>
      <c r="AC47" s="356">
        <f t="shared" si="20"/>
        <v>0</v>
      </c>
      <c r="AD47" s="356">
        <f t="shared" si="20"/>
        <v>0</v>
      </c>
      <c r="AE47" s="356">
        <f t="shared" si="19"/>
        <v>0</v>
      </c>
      <c r="AF47" s="356">
        <f t="shared" si="19"/>
        <v>0</v>
      </c>
      <c r="AG47" s="356">
        <f t="shared" si="19"/>
        <v>0</v>
      </c>
      <c r="AH47" s="356">
        <f t="shared" si="19"/>
        <v>0</v>
      </c>
      <c r="AI47" s="356">
        <f t="shared" si="19"/>
        <v>0</v>
      </c>
      <c r="AJ47" s="356">
        <f t="shared" si="19"/>
        <v>0</v>
      </c>
      <c r="AK47" s="356">
        <f t="shared" si="19"/>
        <v>0</v>
      </c>
      <c r="AL47" s="356">
        <f t="shared" si="19"/>
        <v>0</v>
      </c>
      <c r="AM47" s="356">
        <f t="shared" si="19"/>
        <v>0</v>
      </c>
      <c r="AN47" s="356">
        <f t="shared" si="22"/>
        <v>0</v>
      </c>
      <c r="AO47" s="356">
        <f t="shared" si="22"/>
        <v>0</v>
      </c>
      <c r="AP47" s="356">
        <f t="shared" si="22"/>
        <v>0</v>
      </c>
      <c r="AQ47" s="356">
        <f t="shared" si="22"/>
        <v>0</v>
      </c>
      <c r="AR47" s="356">
        <f t="shared" si="22"/>
        <v>0</v>
      </c>
      <c r="AS47" s="356">
        <f t="shared" si="22"/>
        <v>0</v>
      </c>
      <c r="AT47" s="356">
        <f t="shared" si="22"/>
        <v>0</v>
      </c>
      <c r="AU47" s="356">
        <f t="shared" si="22"/>
        <v>0</v>
      </c>
      <c r="AV47" s="356">
        <f t="shared" si="22"/>
        <v>0</v>
      </c>
      <c r="AW47" s="356">
        <f t="shared" si="22"/>
        <v>0</v>
      </c>
      <c r="AX47" s="356">
        <f t="shared" si="22"/>
        <v>0</v>
      </c>
      <c r="AY47" s="356">
        <f t="shared" si="22"/>
        <v>0</v>
      </c>
      <c r="AZ47" s="356">
        <f t="shared" si="22"/>
        <v>0</v>
      </c>
      <c r="BA47" s="356">
        <f t="shared" si="22"/>
        <v>0</v>
      </c>
      <c r="BB47" s="356">
        <f t="shared" si="22"/>
        <v>0</v>
      </c>
      <c r="BC47" s="344">
        <v>35</v>
      </c>
    </row>
    <row r="48" spans="1:55" x14ac:dyDescent="0.25">
      <c r="A48" s="1895"/>
      <c r="B48" s="1895"/>
      <c r="C48" s="2028"/>
      <c r="D48" s="1897"/>
      <c r="E48" s="1897"/>
      <c r="F48" s="1897"/>
      <c r="G48" s="358" t="str">
        <f t="shared" si="16"/>
        <v xml:space="preserve"> </v>
      </c>
      <c r="H48" s="1031">
        <f t="shared" si="17"/>
        <v>0</v>
      </c>
      <c r="I48" s="356" t="e">
        <f t="shared" si="23"/>
        <v>#DIV/0!</v>
      </c>
      <c r="J48" s="5" t="e">
        <f t="shared" si="18"/>
        <v>#DIV/0!</v>
      </c>
      <c r="K48" s="35" t="e">
        <f t="shared" si="24"/>
        <v>#DIV/0!</v>
      </c>
      <c r="L48" s="1032">
        <f t="shared" si="25"/>
        <v>0</v>
      </c>
      <c r="O48" s="356" t="e">
        <f t="shared" si="20"/>
        <v>#DIV/0!</v>
      </c>
      <c r="P48" s="356">
        <f t="shared" si="20"/>
        <v>0</v>
      </c>
      <c r="Q48" s="356">
        <f t="shared" si="20"/>
        <v>0</v>
      </c>
      <c r="R48" s="356">
        <f t="shared" si="20"/>
        <v>0</v>
      </c>
      <c r="S48" s="356">
        <f t="shared" si="20"/>
        <v>0</v>
      </c>
      <c r="T48" s="356">
        <f t="shared" si="20"/>
        <v>0</v>
      </c>
      <c r="U48" s="356">
        <f t="shared" si="20"/>
        <v>0</v>
      </c>
      <c r="V48" s="356">
        <f t="shared" si="20"/>
        <v>0</v>
      </c>
      <c r="W48" s="356">
        <f t="shared" si="20"/>
        <v>0</v>
      </c>
      <c r="X48" s="356">
        <f t="shared" si="20"/>
        <v>0</v>
      </c>
      <c r="Y48" s="356">
        <f t="shared" si="20"/>
        <v>0</v>
      </c>
      <c r="Z48" s="356">
        <f t="shared" si="20"/>
        <v>0</v>
      </c>
      <c r="AA48" s="356">
        <f t="shared" si="20"/>
        <v>0</v>
      </c>
      <c r="AB48" s="356">
        <f t="shared" si="20"/>
        <v>0</v>
      </c>
      <c r="AC48" s="356">
        <f t="shared" si="20"/>
        <v>0</v>
      </c>
      <c r="AD48" s="356">
        <f t="shared" si="20"/>
        <v>0</v>
      </c>
      <c r="AE48" s="356">
        <f t="shared" si="19"/>
        <v>0</v>
      </c>
      <c r="AF48" s="356">
        <f t="shared" si="19"/>
        <v>0</v>
      </c>
      <c r="AG48" s="356">
        <f t="shared" si="19"/>
        <v>0</v>
      </c>
      <c r="AH48" s="356">
        <f t="shared" si="19"/>
        <v>0</v>
      </c>
      <c r="AI48" s="356">
        <f t="shared" si="19"/>
        <v>0</v>
      </c>
      <c r="AJ48" s="356">
        <f t="shared" si="19"/>
        <v>0</v>
      </c>
      <c r="AK48" s="356">
        <f t="shared" si="19"/>
        <v>0</v>
      </c>
      <c r="AL48" s="356">
        <f t="shared" si="19"/>
        <v>0</v>
      </c>
      <c r="AM48" s="356">
        <f t="shared" si="19"/>
        <v>0</v>
      </c>
      <c r="AN48" s="356">
        <f t="shared" si="22"/>
        <v>0</v>
      </c>
      <c r="AO48" s="356">
        <f t="shared" si="22"/>
        <v>0</v>
      </c>
      <c r="AP48" s="356">
        <f t="shared" si="22"/>
        <v>0</v>
      </c>
      <c r="AQ48" s="356">
        <f t="shared" si="22"/>
        <v>0</v>
      </c>
      <c r="AR48" s="356">
        <f t="shared" si="22"/>
        <v>0</v>
      </c>
      <c r="AS48" s="356">
        <f t="shared" si="22"/>
        <v>0</v>
      </c>
      <c r="AT48" s="356">
        <f t="shared" si="22"/>
        <v>0</v>
      </c>
      <c r="AU48" s="356">
        <f t="shared" si="22"/>
        <v>0</v>
      </c>
      <c r="AV48" s="356">
        <f t="shared" si="22"/>
        <v>0</v>
      </c>
      <c r="AW48" s="356">
        <f t="shared" si="22"/>
        <v>0</v>
      </c>
      <c r="AX48" s="356">
        <f t="shared" si="22"/>
        <v>0</v>
      </c>
      <c r="AY48" s="356">
        <f t="shared" si="22"/>
        <v>0</v>
      </c>
      <c r="AZ48" s="356">
        <f t="shared" si="22"/>
        <v>0</v>
      </c>
      <c r="BA48" s="356">
        <f t="shared" si="22"/>
        <v>0</v>
      </c>
      <c r="BB48" s="356">
        <f t="shared" si="22"/>
        <v>0</v>
      </c>
      <c r="BC48" s="344">
        <v>36</v>
      </c>
    </row>
    <row r="49" spans="1:55" x14ac:dyDescent="0.25">
      <c r="A49" s="1895"/>
      <c r="B49" s="1895"/>
      <c r="C49" s="2028"/>
      <c r="D49" s="1897"/>
      <c r="E49" s="1897"/>
      <c r="F49" s="1897"/>
      <c r="G49" s="358" t="str">
        <f t="shared" si="16"/>
        <v xml:space="preserve"> </v>
      </c>
      <c r="H49" s="1031">
        <f t="shared" si="17"/>
        <v>0</v>
      </c>
      <c r="I49" s="356" t="e">
        <f t="shared" si="23"/>
        <v>#DIV/0!</v>
      </c>
      <c r="J49" s="5" t="e">
        <f t="shared" si="18"/>
        <v>#DIV/0!</v>
      </c>
      <c r="K49" s="35" t="e">
        <f t="shared" si="24"/>
        <v>#DIV/0!</v>
      </c>
      <c r="L49" s="1032">
        <f t="shared" si="25"/>
        <v>0</v>
      </c>
      <c r="O49" s="356" t="e">
        <f t="shared" si="20"/>
        <v>#DIV/0!</v>
      </c>
      <c r="P49" s="356">
        <f t="shared" si="20"/>
        <v>0</v>
      </c>
      <c r="Q49" s="356">
        <f t="shared" si="20"/>
        <v>0</v>
      </c>
      <c r="R49" s="356">
        <f t="shared" si="20"/>
        <v>0</v>
      </c>
      <c r="S49" s="356">
        <f t="shared" si="20"/>
        <v>0</v>
      </c>
      <c r="T49" s="356">
        <f t="shared" si="20"/>
        <v>0</v>
      </c>
      <c r="U49" s="356">
        <f t="shared" si="20"/>
        <v>0</v>
      </c>
      <c r="V49" s="356">
        <f t="shared" si="20"/>
        <v>0</v>
      </c>
      <c r="W49" s="356">
        <f t="shared" si="20"/>
        <v>0</v>
      </c>
      <c r="X49" s="356">
        <f t="shared" si="20"/>
        <v>0</v>
      </c>
      <c r="Y49" s="356">
        <f t="shared" si="20"/>
        <v>0</v>
      </c>
      <c r="Z49" s="356">
        <f t="shared" si="20"/>
        <v>0</v>
      </c>
      <c r="AA49" s="356">
        <f t="shared" si="20"/>
        <v>0</v>
      </c>
      <c r="AB49" s="356">
        <f t="shared" si="20"/>
        <v>0</v>
      </c>
      <c r="AC49" s="356">
        <f t="shared" si="20"/>
        <v>0</v>
      </c>
      <c r="AD49" s="356">
        <f t="shared" si="20"/>
        <v>0</v>
      </c>
      <c r="AE49" s="356">
        <f t="shared" si="19"/>
        <v>0</v>
      </c>
      <c r="AF49" s="356">
        <f t="shared" si="19"/>
        <v>0</v>
      </c>
      <c r="AG49" s="356">
        <f t="shared" si="19"/>
        <v>0</v>
      </c>
      <c r="AH49" s="356">
        <f t="shared" si="19"/>
        <v>0</v>
      </c>
      <c r="AI49" s="356">
        <f t="shared" si="19"/>
        <v>0</v>
      </c>
      <c r="AJ49" s="356">
        <f t="shared" si="19"/>
        <v>0</v>
      </c>
      <c r="AK49" s="356">
        <f t="shared" si="19"/>
        <v>0</v>
      </c>
      <c r="AL49" s="356">
        <f t="shared" si="19"/>
        <v>0</v>
      </c>
      <c r="AM49" s="356">
        <f t="shared" si="19"/>
        <v>0</v>
      </c>
      <c r="AN49" s="356">
        <f t="shared" si="22"/>
        <v>0</v>
      </c>
      <c r="AO49" s="356">
        <f t="shared" si="22"/>
        <v>0</v>
      </c>
      <c r="AP49" s="356">
        <f t="shared" si="22"/>
        <v>0</v>
      </c>
      <c r="AQ49" s="356">
        <f t="shared" si="22"/>
        <v>0</v>
      </c>
      <c r="AR49" s="356">
        <f t="shared" si="22"/>
        <v>0</v>
      </c>
      <c r="AS49" s="356">
        <f t="shared" si="22"/>
        <v>0</v>
      </c>
      <c r="AT49" s="356">
        <f t="shared" si="22"/>
        <v>0</v>
      </c>
      <c r="AU49" s="356">
        <f t="shared" si="22"/>
        <v>0</v>
      </c>
      <c r="AV49" s="356">
        <f t="shared" si="22"/>
        <v>0</v>
      </c>
      <c r="AW49" s="356">
        <f t="shared" si="22"/>
        <v>0</v>
      </c>
      <c r="AX49" s="356">
        <f t="shared" si="22"/>
        <v>0</v>
      </c>
      <c r="AY49" s="356">
        <f t="shared" si="22"/>
        <v>0</v>
      </c>
      <c r="AZ49" s="356">
        <f t="shared" si="22"/>
        <v>0</v>
      </c>
      <c r="BA49" s="356">
        <f t="shared" si="22"/>
        <v>0</v>
      </c>
      <c r="BB49" s="356">
        <f t="shared" si="22"/>
        <v>0</v>
      </c>
      <c r="BC49" s="344">
        <v>37</v>
      </c>
    </row>
    <row r="50" spans="1:55" x14ac:dyDescent="0.25">
      <c r="A50" s="1895"/>
      <c r="B50" s="1895"/>
      <c r="C50" s="2028"/>
      <c r="D50" s="1897"/>
      <c r="E50" s="1897"/>
      <c r="F50" s="1897"/>
      <c r="G50" s="358" t="str">
        <f t="shared" si="16"/>
        <v xml:space="preserve"> </v>
      </c>
      <c r="H50" s="1031">
        <f t="shared" si="17"/>
        <v>0</v>
      </c>
      <c r="I50" s="356" t="e">
        <f t="shared" si="23"/>
        <v>#DIV/0!</v>
      </c>
      <c r="J50" s="5" t="e">
        <f t="shared" si="18"/>
        <v>#DIV/0!</v>
      </c>
      <c r="K50" s="35" t="e">
        <f t="shared" si="24"/>
        <v>#DIV/0!</v>
      </c>
      <c r="L50" s="1032">
        <f t="shared" si="25"/>
        <v>0</v>
      </c>
      <c r="O50" s="356" t="e">
        <f t="shared" si="20"/>
        <v>#DIV/0!</v>
      </c>
      <c r="P50" s="356">
        <f t="shared" si="20"/>
        <v>0</v>
      </c>
      <c r="Q50" s="356">
        <f t="shared" si="20"/>
        <v>0</v>
      </c>
      <c r="R50" s="356">
        <f t="shared" si="20"/>
        <v>0</v>
      </c>
      <c r="S50" s="356">
        <f t="shared" si="20"/>
        <v>0</v>
      </c>
      <c r="T50" s="356">
        <f t="shared" si="20"/>
        <v>0</v>
      </c>
      <c r="U50" s="356">
        <f t="shared" si="20"/>
        <v>0</v>
      </c>
      <c r="V50" s="356">
        <f t="shared" si="20"/>
        <v>0</v>
      </c>
      <c r="W50" s="356">
        <f t="shared" si="20"/>
        <v>0</v>
      </c>
      <c r="X50" s="356">
        <f t="shared" si="20"/>
        <v>0</v>
      </c>
      <c r="Y50" s="356">
        <f t="shared" si="20"/>
        <v>0</v>
      </c>
      <c r="Z50" s="356">
        <f t="shared" si="20"/>
        <v>0</v>
      </c>
      <c r="AA50" s="356">
        <f t="shared" si="20"/>
        <v>0</v>
      </c>
      <c r="AB50" s="356">
        <f t="shared" si="20"/>
        <v>0</v>
      </c>
      <c r="AC50" s="356">
        <f t="shared" si="20"/>
        <v>0</v>
      </c>
      <c r="AD50" s="356">
        <f t="shared" si="20"/>
        <v>0</v>
      </c>
      <c r="AE50" s="356">
        <f t="shared" si="19"/>
        <v>0</v>
      </c>
      <c r="AF50" s="356">
        <f t="shared" si="19"/>
        <v>0</v>
      </c>
      <c r="AG50" s="356">
        <f t="shared" si="19"/>
        <v>0</v>
      </c>
      <c r="AH50" s="356">
        <f t="shared" si="19"/>
        <v>0</v>
      </c>
      <c r="AI50" s="356">
        <f t="shared" si="19"/>
        <v>0</v>
      </c>
      <c r="AJ50" s="356">
        <f t="shared" si="19"/>
        <v>0</v>
      </c>
      <c r="AK50" s="356">
        <f t="shared" si="19"/>
        <v>0</v>
      </c>
      <c r="AL50" s="356">
        <f t="shared" si="19"/>
        <v>0</v>
      </c>
      <c r="AM50" s="356">
        <f t="shared" si="19"/>
        <v>0</v>
      </c>
      <c r="AN50" s="356">
        <f t="shared" si="22"/>
        <v>0</v>
      </c>
      <c r="AO50" s="356">
        <f t="shared" si="22"/>
        <v>0</v>
      </c>
      <c r="AP50" s="356">
        <f t="shared" si="22"/>
        <v>0</v>
      </c>
      <c r="AQ50" s="356">
        <f t="shared" si="22"/>
        <v>0</v>
      </c>
      <c r="AR50" s="356">
        <f t="shared" si="22"/>
        <v>0</v>
      </c>
      <c r="AS50" s="356">
        <f t="shared" si="22"/>
        <v>0</v>
      </c>
      <c r="AT50" s="356">
        <f t="shared" si="22"/>
        <v>0</v>
      </c>
      <c r="AU50" s="356">
        <f t="shared" si="22"/>
        <v>0</v>
      </c>
      <c r="AV50" s="356">
        <f t="shared" si="22"/>
        <v>0</v>
      </c>
      <c r="AW50" s="356">
        <f t="shared" si="22"/>
        <v>0</v>
      </c>
      <c r="AX50" s="356">
        <f t="shared" si="22"/>
        <v>0</v>
      </c>
      <c r="AY50" s="356">
        <f t="shared" si="22"/>
        <v>0</v>
      </c>
      <c r="AZ50" s="356">
        <f t="shared" si="22"/>
        <v>0</v>
      </c>
      <c r="BA50" s="356">
        <f t="shared" si="22"/>
        <v>0</v>
      </c>
      <c r="BB50" s="356">
        <f t="shared" si="22"/>
        <v>0</v>
      </c>
      <c r="BC50" s="344">
        <v>38</v>
      </c>
    </row>
    <row r="51" spans="1:55" x14ac:dyDescent="0.25">
      <c r="A51" s="1895"/>
      <c r="B51" s="1895"/>
      <c r="C51" s="2028"/>
      <c r="D51" s="1897"/>
      <c r="E51" s="1897"/>
      <c r="F51" s="1897"/>
      <c r="G51" s="358" t="str">
        <f t="shared" si="16"/>
        <v xml:space="preserve"> </v>
      </c>
      <c r="H51" s="1031">
        <f t="shared" si="17"/>
        <v>0</v>
      </c>
      <c r="I51" s="356" t="e">
        <f t="shared" si="23"/>
        <v>#DIV/0!</v>
      </c>
      <c r="J51" s="5" t="e">
        <f t="shared" si="18"/>
        <v>#DIV/0!</v>
      </c>
      <c r="K51" s="35" t="e">
        <f t="shared" si="24"/>
        <v>#DIV/0!</v>
      </c>
      <c r="L51" s="1032">
        <f t="shared" si="25"/>
        <v>0</v>
      </c>
      <c r="O51" s="356" t="e">
        <f t="shared" si="20"/>
        <v>#DIV/0!</v>
      </c>
      <c r="P51" s="356">
        <f t="shared" si="20"/>
        <v>0</v>
      </c>
      <c r="Q51" s="356">
        <f t="shared" si="20"/>
        <v>0</v>
      </c>
      <c r="R51" s="356">
        <f t="shared" si="20"/>
        <v>0</v>
      </c>
      <c r="S51" s="356">
        <f t="shared" si="20"/>
        <v>0</v>
      </c>
      <c r="T51" s="356">
        <f t="shared" si="20"/>
        <v>0</v>
      </c>
      <c r="U51" s="356">
        <f t="shared" si="20"/>
        <v>0</v>
      </c>
      <c r="V51" s="356">
        <f t="shared" si="20"/>
        <v>0</v>
      </c>
      <c r="W51" s="356">
        <f t="shared" si="20"/>
        <v>0</v>
      </c>
      <c r="X51" s="356">
        <f t="shared" si="20"/>
        <v>0</v>
      </c>
      <c r="Y51" s="356">
        <f t="shared" si="20"/>
        <v>0</v>
      </c>
      <c r="Z51" s="356">
        <f t="shared" si="20"/>
        <v>0</v>
      </c>
      <c r="AA51" s="356">
        <f t="shared" si="20"/>
        <v>0</v>
      </c>
      <c r="AB51" s="356">
        <f t="shared" si="20"/>
        <v>0</v>
      </c>
      <c r="AC51" s="356">
        <f t="shared" si="20"/>
        <v>0</v>
      </c>
      <c r="AD51" s="356">
        <f t="shared" si="20"/>
        <v>0</v>
      </c>
      <c r="AE51" s="356">
        <f t="shared" si="19"/>
        <v>0</v>
      </c>
      <c r="AF51" s="356">
        <f t="shared" si="19"/>
        <v>0</v>
      </c>
      <c r="AG51" s="356">
        <f t="shared" si="19"/>
        <v>0</v>
      </c>
      <c r="AH51" s="356">
        <f t="shared" si="19"/>
        <v>0</v>
      </c>
      <c r="AI51" s="356">
        <f t="shared" si="19"/>
        <v>0</v>
      </c>
      <c r="AJ51" s="356">
        <f t="shared" si="19"/>
        <v>0</v>
      </c>
      <c r="AK51" s="356">
        <f t="shared" si="19"/>
        <v>0</v>
      </c>
      <c r="AL51" s="356">
        <f t="shared" si="19"/>
        <v>0</v>
      </c>
      <c r="AM51" s="356">
        <f t="shared" si="19"/>
        <v>0</v>
      </c>
      <c r="AN51" s="356">
        <f t="shared" si="22"/>
        <v>0</v>
      </c>
      <c r="AO51" s="356">
        <f t="shared" si="22"/>
        <v>0</v>
      </c>
      <c r="AP51" s="356">
        <f t="shared" si="22"/>
        <v>0</v>
      </c>
      <c r="AQ51" s="356">
        <f t="shared" si="22"/>
        <v>0</v>
      </c>
      <c r="AR51" s="356">
        <f t="shared" si="22"/>
        <v>0</v>
      </c>
      <c r="AS51" s="356">
        <f t="shared" si="22"/>
        <v>0</v>
      </c>
      <c r="AT51" s="356">
        <f t="shared" si="22"/>
        <v>0</v>
      </c>
      <c r="AU51" s="356">
        <f t="shared" si="22"/>
        <v>0</v>
      </c>
      <c r="AV51" s="356">
        <f t="shared" si="22"/>
        <v>0</v>
      </c>
      <c r="AW51" s="356">
        <f t="shared" si="22"/>
        <v>0</v>
      </c>
      <c r="AX51" s="356">
        <f t="shared" si="22"/>
        <v>0</v>
      </c>
      <c r="AY51" s="356">
        <f t="shared" si="22"/>
        <v>0</v>
      </c>
      <c r="AZ51" s="356">
        <f t="shared" si="22"/>
        <v>0</v>
      </c>
      <c r="BA51" s="356">
        <f t="shared" si="22"/>
        <v>0</v>
      </c>
      <c r="BB51" s="356">
        <f t="shared" si="22"/>
        <v>0</v>
      </c>
      <c r="BC51" s="344">
        <v>39</v>
      </c>
    </row>
    <row r="52" spans="1:55" x14ac:dyDescent="0.25">
      <c r="A52" s="1895"/>
      <c r="B52" s="1895"/>
      <c r="C52" s="2028"/>
      <c r="D52" s="1897"/>
      <c r="E52" s="1897"/>
      <c r="F52" s="1897"/>
      <c r="G52" s="358" t="str">
        <f t="shared" si="16"/>
        <v xml:space="preserve"> </v>
      </c>
      <c r="H52" s="1031">
        <f t="shared" si="17"/>
        <v>0</v>
      </c>
      <c r="I52" s="356" t="e">
        <f t="shared" si="23"/>
        <v>#DIV/0!</v>
      </c>
      <c r="J52" s="5" t="e">
        <f t="shared" si="18"/>
        <v>#DIV/0!</v>
      </c>
      <c r="K52" s="35" t="e">
        <f t="shared" si="24"/>
        <v>#DIV/0!</v>
      </c>
      <c r="L52" s="1032">
        <f t="shared" si="25"/>
        <v>0</v>
      </c>
      <c r="O52" s="356" t="e">
        <f t="shared" si="20"/>
        <v>#DIV/0!</v>
      </c>
      <c r="P52" s="356">
        <f t="shared" si="20"/>
        <v>0</v>
      </c>
      <c r="Q52" s="356">
        <f t="shared" si="20"/>
        <v>0</v>
      </c>
      <c r="R52" s="356">
        <f t="shared" si="20"/>
        <v>0</v>
      </c>
      <c r="S52" s="356">
        <f t="shared" si="20"/>
        <v>0</v>
      </c>
      <c r="T52" s="356">
        <f t="shared" si="20"/>
        <v>0</v>
      </c>
      <c r="U52" s="356">
        <f t="shared" si="20"/>
        <v>0</v>
      </c>
      <c r="V52" s="356">
        <f t="shared" si="20"/>
        <v>0</v>
      </c>
      <c r="W52" s="356">
        <f t="shared" si="20"/>
        <v>0</v>
      </c>
      <c r="X52" s="356">
        <f t="shared" si="20"/>
        <v>0</v>
      </c>
      <c r="Y52" s="356">
        <f t="shared" si="20"/>
        <v>0</v>
      </c>
      <c r="Z52" s="356">
        <f t="shared" si="20"/>
        <v>0</v>
      </c>
      <c r="AA52" s="356">
        <f t="shared" si="20"/>
        <v>0</v>
      </c>
      <c r="AB52" s="356">
        <f t="shared" si="20"/>
        <v>0</v>
      </c>
      <c r="AC52" s="356">
        <f t="shared" si="20"/>
        <v>0</v>
      </c>
      <c r="AD52" s="356">
        <f t="shared" ref="AD52:AS67" si="26">IF($H52=AD$13,(($B52-1)/12)*SLN($D52,$E52,$F52),IF($C52=AD$13,((12-$G52)/12)*SLN($D52,$E52,$F52),IF(AND(AD$13&gt;$C52,AD$13&lt;$H52),SLN($D52,$E52,$F52),0)))</f>
        <v>0</v>
      </c>
      <c r="AE52" s="356">
        <f t="shared" si="26"/>
        <v>0</v>
      </c>
      <c r="AF52" s="356">
        <f t="shared" si="26"/>
        <v>0</v>
      </c>
      <c r="AG52" s="356">
        <f t="shared" si="26"/>
        <v>0</v>
      </c>
      <c r="AH52" s="356">
        <f t="shared" si="26"/>
        <v>0</v>
      </c>
      <c r="AI52" s="356">
        <f t="shared" si="26"/>
        <v>0</v>
      </c>
      <c r="AJ52" s="356">
        <f t="shared" si="26"/>
        <v>0</v>
      </c>
      <c r="AK52" s="356">
        <f t="shared" si="26"/>
        <v>0</v>
      </c>
      <c r="AL52" s="356">
        <f t="shared" si="26"/>
        <v>0</v>
      </c>
      <c r="AM52" s="356">
        <f t="shared" si="26"/>
        <v>0</v>
      </c>
      <c r="AN52" s="356">
        <f t="shared" si="26"/>
        <v>0</v>
      </c>
      <c r="AO52" s="356">
        <f t="shared" si="26"/>
        <v>0</v>
      </c>
      <c r="AP52" s="356">
        <f t="shared" si="26"/>
        <v>0</v>
      </c>
      <c r="AQ52" s="356">
        <f t="shared" si="26"/>
        <v>0</v>
      </c>
      <c r="AR52" s="356">
        <f t="shared" si="26"/>
        <v>0</v>
      </c>
      <c r="AS52" s="356">
        <f t="shared" si="26"/>
        <v>0</v>
      </c>
      <c r="AT52" s="356">
        <f t="shared" si="22"/>
        <v>0</v>
      </c>
      <c r="AU52" s="356">
        <f t="shared" si="22"/>
        <v>0</v>
      </c>
      <c r="AV52" s="356">
        <f t="shared" si="22"/>
        <v>0</v>
      </c>
      <c r="AW52" s="356">
        <f t="shared" si="22"/>
        <v>0</v>
      </c>
      <c r="AX52" s="356">
        <f t="shared" si="22"/>
        <v>0</v>
      </c>
      <c r="AY52" s="356">
        <f t="shared" si="22"/>
        <v>0</v>
      </c>
      <c r="AZ52" s="356">
        <f t="shared" si="22"/>
        <v>0</v>
      </c>
      <c r="BA52" s="356">
        <f t="shared" si="22"/>
        <v>0</v>
      </c>
      <c r="BB52" s="356">
        <f t="shared" si="22"/>
        <v>0</v>
      </c>
      <c r="BC52" s="344">
        <v>40</v>
      </c>
    </row>
    <row r="53" spans="1:55" x14ac:dyDescent="0.25">
      <c r="A53" s="1895"/>
      <c r="B53" s="1895"/>
      <c r="C53" s="2028"/>
      <c r="D53" s="1897"/>
      <c r="E53" s="1897"/>
      <c r="F53" s="1897"/>
      <c r="G53" s="358" t="str">
        <f t="shared" si="16"/>
        <v xml:space="preserve"> </v>
      </c>
      <c r="H53" s="1031">
        <f t="shared" si="17"/>
        <v>0</v>
      </c>
      <c r="I53" s="356" t="e">
        <f t="shared" si="23"/>
        <v>#DIV/0!</v>
      </c>
      <c r="J53" s="5" t="e">
        <f t="shared" si="18"/>
        <v>#DIV/0!</v>
      </c>
      <c r="K53" s="35" t="e">
        <f t="shared" si="24"/>
        <v>#DIV/0!</v>
      </c>
      <c r="L53" s="1032">
        <f t="shared" si="25"/>
        <v>0</v>
      </c>
      <c r="O53" s="356" t="e">
        <f t="shared" ref="O53:AD68" si="27">IF($H53=O$13,(($B53-1)/12)*SLN($D53,$E53,$F53),IF($C53=O$13,((12-$G53)/12)*SLN($D53,$E53,$F53),IF(AND(O$13&gt;$C53,O$13&lt;$H53),SLN($D53,$E53,$F53),0)))</f>
        <v>#DIV/0!</v>
      </c>
      <c r="P53" s="356">
        <f t="shared" si="27"/>
        <v>0</v>
      </c>
      <c r="Q53" s="356">
        <f t="shared" si="27"/>
        <v>0</v>
      </c>
      <c r="R53" s="356">
        <f t="shared" si="27"/>
        <v>0</v>
      </c>
      <c r="S53" s="356">
        <f t="shared" si="27"/>
        <v>0</v>
      </c>
      <c r="T53" s="356">
        <f t="shared" si="27"/>
        <v>0</v>
      </c>
      <c r="U53" s="356">
        <f t="shared" si="27"/>
        <v>0</v>
      </c>
      <c r="V53" s="356">
        <f t="shared" si="27"/>
        <v>0</v>
      </c>
      <c r="W53" s="356">
        <f t="shared" si="27"/>
        <v>0</v>
      </c>
      <c r="X53" s="356">
        <f t="shared" si="27"/>
        <v>0</v>
      </c>
      <c r="Y53" s="356">
        <f t="shared" si="27"/>
        <v>0</v>
      </c>
      <c r="Z53" s="356">
        <f t="shared" si="27"/>
        <v>0</v>
      </c>
      <c r="AA53" s="356">
        <f t="shared" si="27"/>
        <v>0</v>
      </c>
      <c r="AB53" s="356">
        <f t="shared" si="27"/>
        <v>0</v>
      </c>
      <c r="AC53" s="356">
        <f t="shared" si="27"/>
        <v>0</v>
      </c>
      <c r="AD53" s="356">
        <f t="shared" si="27"/>
        <v>0</v>
      </c>
      <c r="AE53" s="356">
        <f t="shared" si="26"/>
        <v>0</v>
      </c>
      <c r="AF53" s="356">
        <f t="shared" si="26"/>
        <v>0</v>
      </c>
      <c r="AG53" s="356">
        <f t="shared" si="26"/>
        <v>0</v>
      </c>
      <c r="AH53" s="356">
        <f t="shared" si="26"/>
        <v>0</v>
      </c>
      <c r="AI53" s="356">
        <f t="shared" si="26"/>
        <v>0</v>
      </c>
      <c r="AJ53" s="356">
        <f t="shared" si="26"/>
        <v>0</v>
      </c>
      <c r="AK53" s="356">
        <f t="shared" si="26"/>
        <v>0</v>
      </c>
      <c r="AL53" s="356">
        <f t="shared" si="26"/>
        <v>0</v>
      </c>
      <c r="AM53" s="356">
        <f t="shared" si="26"/>
        <v>0</v>
      </c>
      <c r="AN53" s="356">
        <f t="shared" si="26"/>
        <v>0</v>
      </c>
      <c r="AO53" s="356">
        <f t="shared" si="26"/>
        <v>0</v>
      </c>
      <c r="AP53" s="356">
        <f t="shared" si="26"/>
        <v>0</v>
      </c>
      <c r="AQ53" s="356">
        <f t="shared" si="26"/>
        <v>0</v>
      </c>
      <c r="AR53" s="356">
        <f t="shared" si="26"/>
        <v>0</v>
      </c>
      <c r="AS53" s="356">
        <f t="shared" si="26"/>
        <v>0</v>
      </c>
      <c r="AT53" s="356">
        <f t="shared" si="22"/>
        <v>0</v>
      </c>
      <c r="AU53" s="356">
        <f t="shared" si="22"/>
        <v>0</v>
      </c>
      <c r="AV53" s="356">
        <f t="shared" si="22"/>
        <v>0</v>
      </c>
      <c r="AW53" s="356">
        <f t="shared" si="22"/>
        <v>0</v>
      </c>
      <c r="AX53" s="356">
        <f t="shared" si="22"/>
        <v>0</v>
      </c>
      <c r="AY53" s="356">
        <f t="shared" si="22"/>
        <v>0</v>
      </c>
      <c r="AZ53" s="356">
        <f t="shared" si="22"/>
        <v>0</v>
      </c>
      <c r="BA53" s="356">
        <f t="shared" si="22"/>
        <v>0</v>
      </c>
      <c r="BB53" s="356">
        <f t="shared" si="22"/>
        <v>0</v>
      </c>
      <c r="BC53" s="344">
        <v>41</v>
      </c>
    </row>
    <row r="54" spans="1:55" x14ac:dyDescent="0.25">
      <c r="A54" s="1895"/>
      <c r="B54" s="1895"/>
      <c r="C54" s="2028"/>
      <c r="D54" s="1897"/>
      <c r="E54" s="1897"/>
      <c r="F54" s="1897"/>
      <c r="G54" s="358" t="str">
        <f t="shared" si="16"/>
        <v xml:space="preserve"> </v>
      </c>
      <c r="H54" s="1031">
        <f t="shared" si="17"/>
        <v>0</v>
      </c>
      <c r="I54" s="356" t="e">
        <f t="shared" si="23"/>
        <v>#DIV/0!</v>
      </c>
      <c r="J54" s="5" t="e">
        <f t="shared" si="18"/>
        <v>#DIV/0!</v>
      </c>
      <c r="K54" s="35" t="e">
        <f t="shared" si="24"/>
        <v>#DIV/0!</v>
      </c>
      <c r="L54" s="1032">
        <f t="shared" si="25"/>
        <v>0</v>
      </c>
      <c r="O54" s="356" t="e">
        <f t="shared" si="27"/>
        <v>#DIV/0!</v>
      </c>
      <c r="P54" s="356">
        <f t="shared" si="27"/>
        <v>0</v>
      </c>
      <c r="Q54" s="356">
        <f t="shared" si="27"/>
        <v>0</v>
      </c>
      <c r="R54" s="356">
        <f t="shared" si="27"/>
        <v>0</v>
      </c>
      <c r="S54" s="356">
        <f t="shared" si="27"/>
        <v>0</v>
      </c>
      <c r="T54" s="356">
        <f t="shared" si="27"/>
        <v>0</v>
      </c>
      <c r="U54" s="356">
        <f t="shared" si="27"/>
        <v>0</v>
      </c>
      <c r="V54" s="356">
        <f t="shared" si="27"/>
        <v>0</v>
      </c>
      <c r="W54" s="356">
        <f t="shared" si="27"/>
        <v>0</v>
      </c>
      <c r="X54" s="356">
        <f t="shared" si="27"/>
        <v>0</v>
      </c>
      <c r="Y54" s="356">
        <f t="shared" si="27"/>
        <v>0</v>
      </c>
      <c r="Z54" s="356">
        <f t="shared" si="27"/>
        <v>0</v>
      </c>
      <c r="AA54" s="356">
        <f t="shared" si="27"/>
        <v>0</v>
      </c>
      <c r="AB54" s="356">
        <f t="shared" si="27"/>
        <v>0</v>
      </c>
      <c r="AC54" s="356">
        <f t="shared" si="27"/>
        <v>0</v>
      </c>
      <c r="AD54" s="356">
        <f t="shared" si="27"/>
        <v>0</v>
      </c>
      <c r="AE54" s="356">
        <f t="shared" si="26"/>
        <v>0</v>
      </c>
      <c r="AF54" s="356">
        <f t="shared" si="26"/>
        <v>0</v>
      </c>
      <c r="AG54" s="356">
        <f t="shared" si="26"/>
        <v>0</v>
      </c>
      <c r="AH54" s="356">
        <f t="shared" si="26"/>
        <v>0</v>
      </c>
      <c r="AI54" s="356">
        <f t="shared" si="26"/>
        <v>0</v>
      </c>
      <c r="AJ54" s="356">
        <f t="shared" si="26"/>
        <v>0</v>
      </c>
      <c r="AK54" s="356">
        <f t="shared" si="26"/>
        <v>0</v>
      </c>
      <c r="AL54" s="356">
        <f t="shared" si="26"/>
        <v>0</v>
      </c>
      <c r="AM54" s="356">
        <f t="shared" si="26"/>
        <v>0</v>
      </c>
      <c r="AN54" s="356">
        <f t="shared" si="26"/>
        <v>0</v>
      </c>
      <c r="AO54" s="356">
        <f t="shared" si="26"/>
        <v>0</v>
      </c>
      <c r="AP54" s="356">
        <f t="shared" si="26"/>
        <v>0</v>
      </c>
      <c r="AQ54" s="356">
        <f t="shared" si="26"/>
        <v>0</v>
      </c>
      <c r="AR54" s="356">
        <f t="shared" si="26"/>
        <v>0</v>
      </c>
      <c r="AS54" s="356">
        <f t="shared" si="26"/>
        <v>0</v>
      </c>
      <c r="AT54" s="356">
        <f t="shared" si="22"/>
        <v>0</v>
      </c>
      <c r="AU54" s="356">
        <f t="shared" si="22"/>
        <v>0</v>
      </c>
      <c r="AV54" s="356">
        <f t="shared" si="22"/>
        <v>0</v>
      </c>
      <c r="AW54" s="356">
        <f t="shared" si="22"/>
        <v>0</v>
      </c>
      <c r="AX54" s="356">
        <f t="shared" si="22"/>
        <v>0</v>
      </c>
      <c r="AY54" s="356">
        <f t="shared" si="22"/>
        <v>0</v>
      </c>
      <c r="AZ54" s="356">
        <f t="shared" si="22"/>
        <v>0</v>
      </c>
      <c r="BA54" s="356">
        <f t="shared" si="22"/>
        <v>0</v>
      </c>
      <c r="BB54" s="356">
        <f t="shared" si="22"/>
        <v>0</v>
      </c>
      <c r="BC54" s="344">
        <v>42</v>
      </c>
    </row>
    <row r="55" spans="1:55" x14ac:dyDescent="0.25">
      <c r="A55" s="1895"/>
      <c r="B55" s="1895"/>
      <c r="C55" s="2028"/>
      <c r="D55" s="1897"/>
      <c r="E55" s="1897"/>
      <c r="F55" s="1897"/>
      <c r="G55" s="358" t="str">
        <f t="shared" si="16"/>
        <v xml:space="preserve"> </v>
      </c>
      <c r="H55" s="1031">
        <f t="shared" si="17"/>
        <v>0</v>
      </c>
      <c r="I55" s="356" t="e">
        <f t="shared" si="23"/>
        <v>#DIV/0!</v>
      </c>
      <c r="J55" s="5" t="e">
        <f t="shared" si="18"/>
        <v>#DIV/0!</v>
      </c>
      <c r="K55" s="35" t="e">
        <f t="shared" si="24"/>
        <v>#DIV/0!</v>
      </c>
      <c r="L55" s="1032">
        <f t="shared" si="25"/>
        <v>0</v>
      </c>
      <c r="O55" s="356" t="e">
        <f t="shared" si="27"/>
        <v>#DIV/0!</v>
      </c>
      <c r="P55" s="356">
        <f t="shared" si="27"/>
        <v>0</v>
      </c>
      <c r="Q55" s="356">
        <f t="shared" si="27"/>
        <v>0</v>
      </c>
      <c r="R55" s="356">
        <f t="shared" si="27"/>
        <v>0</v>
      </c>
      <c r="S55" s="356">
        <f t="shared" si="27"/>
        <v>0</v>
      </c>
      <c r="T55" s="356">
        <f t="shared" si="27"/>
        <v>0</v>
      </c>
      <c r="U55" s="356">
        <f t="shared" si="27"/>
        <v>0</v>
      </c>
      <c r="V55" s="356">
        <f t="shared" si="27"/>
        <v>0</v>
      </c>
      <c r="W55" s="356">
        <f t="shared" si="27"/>
        <v>0</v>
      </c>
      <c r="X55" s="356">
        <f t="shared" si="27"/>
        <v>0</v>
      </c>
      <c r="Y55" s="356">
        <f t="shared" si="27"/>
        <v>0</v>
      </c>
      <c r="Z55" s="356">
        <f t="shared" si="27"/>
        <v>0</v>
      </c>
      <c r="AA55" s="356">
        <f t="shared" si="27"/>
        <v>0</v>
      </c>
      <c r="AB55" s="356">
        <f t="shared" si="27"/>
        <v>0</v>
      </c>
      <c r="AC55" s="356">
        <f t="shared" si="27"/>
        <v>0</v>
      </c>
      <c r="AD55" s="356">
        <f t="shared" si="27"/>
        <v>0</v>
      </c>
      <c r="AE55" s="356">
        <f t="shared" si="26"/>
        <v>0</v>
      </c>
      <c r="AF55" s="356">
        <f t="shared" si="26"/>
        <v>0</v>
      </c>
      <c r="AG55" s="356">
        <f t="shared" si="26"/>
        <v>0</v>
      </c>
      <c r="AH55" s="356">
        <f t="shared" si="26"/>
        <v>0</v>
      </c>
      <c r="AI55" s="356">
        <f t="shared" si="26"/>
        <v>0</v>
      </c>
      <c r="AJ55" s="356">
        <f t="shared" si="26"/>
        <v>0</v>
      </c>
      <c r="AK55" s="356">
        <f t="shared" si="26"/>
        <v>0</v>
      </c>
      <c r="AL55" s="356">
        <f t="shared" si="26"/>
        <v>0</v>
      </c>
      <c r="AM55" s="356">
        <f t="shared" si="26"/>
        <v>0</v>
      </c>
      <c r="AN55" s="356">
        <f t="shared" si="26"/>
        <v>0</v>
      </c>
      <c r="AO55" s="356">
        <f t="shared" si="26"/>
        <v>0</v>
      </c>
      <c r="AP55" s="356">
        <f t="shared" si="26"/>
        <v>0</v>
      </c>
      <c r="AQ55" s="356">
        <f t="shared" si="26"/>
        <v>0</v>
      </c>
      <c r="AR55" s="356">
        <f t="shared" si="26"/>
        <v>0</v>
      </c>
      <c r="AS55" s="356">
        <f t="shared" si="26"/>
        <v>0</v>
      </c>
      <c r="AT55" s="356">
        <f t="shared" si="22"/>
        <v>0</v>
      </c>
      <c r="AU55" s="356">
        <f t="shared" si="22"/>
        <v>0</v>
      </c>
      <c r="AV55" s="356">
        <f t="shared" si="22"/>
        <v>0</v>
      </c>
      <c r="AW55" s="356">
        <f t="shared" si="22"/>
        <v>0</v>
      </c>
      <c r="AX55" s="356">
        <f t="shared" si="22"/>
        <v>0</v>
      </c>
      <c r="AY55" s="356">
        <f t="shared" si="22"/>
        <v>0</v>
      </c>
      <c r="AZ55" s="356">
        <f t="shared" si="22"/>
        <v>0</v>
      </c>
      <c r="BA55" s="356">
        <f t="shared" si="22"/>
        <v>0</v>
      </c>
      <c r="BB55" s="356">
        <f t="shared" si="22"/>
        <v>0</v>
      </c>
      <c r="BC55" s="344">
        <v>43</v>
      </c>
    </row>
    <row r="56" spans="1:55" x14ac:dyDescent="0.25">
      <c r="A56" s="1895"/>
      <c r="B56" s="1895"/>
      <c r="C56" s="2028"/>
      <c r="D56" s="1897"/>
      <c r="E56" s="1897"/>
      <c r="F56" s="1897"/>
      <c r="G56" s="358" t="str">
        <f t="shared" si="16"/>
        <v xml:space="preserve"> </v>
      </c>
      <c r="H56" s="1031">
        <f t="shared" si="17"/>
        <v>0</v>
      </c>
      <c r="I56" s="356" t="e">
        <f t="shared" si="23"/>
        <v>#DIV/0!</v>
      </c>
      <c r="J56" s="5" t="e">
        <f t="shared" si="18"/>
        <v>#DIV/0!</v>
      </c>
      <c r="K56" s="35" t="e">
        <f t="shared" si="24"/>
        <v>#DIV/0!</v>
      </c>
      <c r="L56" s="1032">
        <f t="shared" si="25"/>
        <v>0</v>
      </c>
      <c r="O56" s="356" t="e">
        <f t="shared" si="27"/>
        <v>#DIV/0!</v>
      </c>
      <c r="P56" s="356">
        <f t="shared" si="27"/>
        <v>0</v>
      </c>
      <c r="Q56" s="356">
        <f t="shared" si="27"/>
        <v>0</v>
      </c>
      <c r="R56" s="356">
        <f t="shared" si="27"/>
        <v>0</v>
      </c>
      <c r="S56" s="356">
        <f t="shared" si="27"/>
        <v>0</v>
      </c>
      <c r="T56" s="356">
        <f t="shared" si="27"/>
        <v>0</v>
      </c>
      <c r="U56" s="356">
        <f t="shared" si="27"/>
        <v>0</v>
      </c>
      <c r="V56" s="356">
        <f t="shared" si="27"/>
        <v>0</v>
      </c>
      <c r="W56" s="356">
        <f t="shared" si="27"/>
        <v>0</v>
      </c>
      <c r="X56" s="356">
        <f t="shared" si="27"/>
        <v>0</v>
      </c>
      <c r="Y56" s="356">
        <f t="shared" si="27"/>
        <v>0</v>
      </c>
      <c r="Z56" s="356">
        <f t="shared" si="27"/>
        <v>0</v>
      </c>
      <c r="AA56" s="356">
        <f t="shared" si="27"/>
        <v>0</v>
      </c>
      <c r="AB56" s="356">
        <f t="shared" si="27"/>
        <v>0</v>
      </c>
      <c r="AC56" s="356">
        <f t="shared" si="27"/>
        <v>0</v>
      </c>
      <c r="AD56" s="356">
        <f t="shared" si="27"/>
        <v>0</v>
      </c>
      <c r="AE56" s="356">
        <f t="shared" si="26"/>
        <v>0</v>
      </c>
      <c r="AF56" s="356">
        <f t="shared" si="26"/>
        <v>0</v>
      </c>
      <c r="AG56" s="356">
        <f t="shared" si="26"/>
        <v>0</v>
      </c>
      <c r="AH56" s="356">
        <f t="shared" si="26"/>
        <v>0</v>
      </c>
      <c r="AI56" s="356">
        <f t="shared" si="26"/>
        <v>0</v>
      </c>
      <c r="AJ56" s="356">
        <f t="shared" si="26"/>
        <v>0</v>
      </c>
      <c r="AK56" s="356">
        <f t="shared" si="26"/>
        <v>0</v>
      </c>
      <c r="AL56" s="356">
        <f t="shared" si="26"/>
        <v>0</v>
      </c>
      <c r="AM56" s="356">
        <f t="shared" si="26"/>
        <v>0</v>
      </c>
      <c r="AN56" s="356">
        <f t="shared" si="26"/>
        <v>0</v>
      </c>
      <c r="AO56" s="356">
        <f t="shared" si="26"/>
        <v>0</v>
      </c>
      <c r="AP56" s="356">
        <f t="shared" si="26"/>
        <v>0</v>
      </c>
      <c r="AQ56" s="356">
        <f t="shared" si="26"/>
        <v>0</v>
      </c>
      <c r="AR56" s="356">
        <f t="shared" si="26"/>
        <v>0</v>
      </c>
      <c r="AS56" s="356">
        <f t="shared" si="26"/>
        <v>0</v>
      </c>
      <c r="AT56" s="356">
        <f t="shared" si="22"/>
        <v>0</v>
      </c>
      <c r="AU56" s="356">
        <f t="shared" si="22"/>
        <v>0</v>
      </c>
      <c r="AV56" s="356">
        <f t="shared" si="22"/>
        <v>0</v>
      </c>
      <c r="AW56" s="356">
        <f t="shared" si="22"/>
        <v>0</v>
      </c>
      <c r="AX56" s="356">
        <f t="shared" si="22"/>
        <v>0</v>
      </c>
      <c r="AY56" s="356">
        <f t="shared" si="22"/>
        <v>0</v>
      </c>
      <c r="AZ56" s="356">
        <f t="shared" si="22"/>
        <v>0</v>
      </c>
      <c r="BA56" s="356">
        <f t="shared" si="22"/>
        <v>0</v>
      </c>
      <c r="BB56" s="356">
        <f t="shared" si="22"/>
        <v>0</v>
      </c>
      <c r="BC56" s="344">
        <v>44</v>
      </c>
    </row>
    <row r="57" spans="1:55" x14ac:dyDescent="0.25">
      <c r="A57" s="1895"/>
      <c r="B57" s="1895"/>
      <c r="C57" s="2028"/>
      <c r="D57" s="1897"/>
      <c r="E57" s="1897"/>
      <c r="F57" s="1897"/>
      <c r="G57" s="358" t="str">
        <f t="shared" si="16"/>
        <v xml:space="preserve"> </v>
      </c>
      <c r="H57" s="1031">
        <f t="shared" si="17"/>
        <v>0</v>
      </c>
      <c r="I57" s="356" t="e">
        <f t="shared" si="23"/>
        <v>#DIV/0!</v>
      </c>
      <c r="J57" s="5" t="e">
        <f t="shared" si="18"/>
        <v>#DIV/0!</v>
      </c>
      <c r="K57" s="35" t="e">
        <f t="shared" si="24"/>
        <v>#DIV/0!</v>
      </c>
      <c r="L57" s="1032">
        <f t="shared" si="25"/>
        <v>0</v>
      </c>
      <c r="O57" s="356" t="e">
        <f t="shared" si="27"/>
        <v>#DIV/0!</v>
      </c>
      <c r="P57" s="356">
        <f t="shared" si="27"/>
        <v>0</v>
      </c>
      <c r="Q57" s="356">
        <f t="shared" si="27"/>
        <v>0</v>
      </c>
      <c r="R57" s="356">
        <f t="shared" si="27"/>
        <v>0</v>
      </c>
      <c r="S57" s="356">
        <f t="shared" si="27"/>
        <v>0</v>
      </c>
      <c r="T57" s="356">
        <f t="shared" si="27"/>
        <v>0</v>
      </c>
      <c r="U57" s="356">
        <f t="shared" si="27"/>
        <v>0</v>
      </c>
      <c r="V57" s="356">
        <f t="shared" si="27"/>
        <v>0</v>
      </c>
      <c r="W57" s="356">
        <f t="shared" si="27"/>
        <v>0</v>
      </c>
      <c r="X57" s="356">
        <f t="shared" si="27"/>
        <v>0</v>
      </c>
      <c r="Y57" s="356">
        <f t="shared" si="27"/>
        <v>0</v>
      </c>
      <c r="Z57" s="356">
        <f t="shared" si="27"/>
        <v>0</v>
      </c>
      <c r="AA57" s="356">
        <f t="shared" si="27"/>
        <v>0</v>
      </c>
      <c r="AB57" s="356">
        <f t="shared" si="27"/>
        <v>0</v>
      </c>
      <c r="AC57" s="356">
        <f t="shared" si="27"/>
        <v>0</v>
      </c>
      <c r="AD57" s="356">
        <f t="shared" si="27"/>
        <v>0</v>
      </c>
      <c r="AE57" s="356">
        <f t="shared" si="26"/>
        <v>0</v>
      </c>
      <c r="AF57" s="356">
        <f t="shared" si="26"/>
        <v>0</v>
      </c>
      <c r="AG57" s="356">
        <f t="shared" si="26"/>
        <v>0</v>
      </c>
      <c r="AH57" s="356">
        <f t="shared" si="26"/>
        <v>0</v>
      </c>
      <c r="AI57" s="356">
        <f t="shared" si="26"/>
        <v>0</v>
      </c>
      <c r="AJ57" s="356">
        <f t="shared" si="26"/>
        <v>0</v>
      </c>
      <c r="AK57" s="356">
        <f t="shared" si="26"/>
        <v>0</v>
      </c>
      <c r="AL57" s="356">
        <f t="shared" si="26"/>
        <v>0</v>
      </c>
      <c r="AM57" s="356">
        <f t="shared" si="26"/>
        <v>0</v>
      </c>
      <c r="AN57" s="356">
        <f t="shared" si="26"/>
        <v>0</v>
      </c>
      <c r="AO57" s="356">
        <f t="shared" si="26"/>
        <v>0</v>
      </c>
      <c r="AP57" s="356">
        <f t="shared" si="26"/>
        <v>0</v>
      </c>
      <c r="AQ57" s="356">
        <f t="shared" si="26"/>
        <v>0</v>
      </c>
      <c r="AR57" s="356">
        <f t="shared" si="26"/>
        <v>0</v>
      </c>
      <c r="AS57" s="356">
        <f t="shared" si="26"/>
        <v>0</v>
      </c>
      <c r="AT57" s="356">
        <f t="shared" si="22"/>
        <v>0</v>
      </c>
      <c r="AU57" s="356">
        <f t="shared" si="22"/>
        <v>0</v>
      </c>
      <c r="AV57" s="356">
        <f t="shared" si="22"/>
        <v>0</v>
      </c>
      <c r="AW57" s="356">
        <f t="shared" si="22"/>
        <v>0</v>
      </c>
      <c r="AX57" s="356">
        <f t="shared" si="22"/>
        <v>0</v>
      </c>
      <c r="AY57" s="356">
        <f t="shared" si="22"/>
        <v>0</v>
      </c>
      <c r="AZ57" s="356">
        <f t="shared" si="22"/>
        <v>0</v>
      </c>
      <c r="BA57" s="356">
        <f t="shared" si="22"/>
        <v>0</v>
      </c>
      <c r="BB57" s="356">
        <f t="shared" si="22"/>
        <v>0</v>
      </c>
      <c r="BC57" s="344">
        <v>45</v>
      </c>
    </row>
    <row r="58" spans="1:55" x14ac:dyDescent="0.25">
      <c r="A58" s="1895"/>
      <c r="B58" s="1895"/>
      <c r="C58" s="2028"/>
      <c r="D58" s="1897"/>
      <c r="E58" s="1897"/>
      <c r="F58" s="1897"/>
      <c r="G58" s="358" t="str">
        <f t="shared" si="16"/>
        <v xml:space="preserve"> </v>
      </c>
      <c r="H58" s="1031">
        <f t="shared" si="17"/>
        <v>0</v>
      </c>
      <c r="I58" s="356" t="e">
        <f t="shared" si="23"/>
        <v>#DIV/0!</v>
      </c>
      <c r="J58" s="5" t="e">
        <f t="shared" si="18"/>
        <v>#DIV/0!</v>
      </c>
      <c r="K58" s="35" t="e">
        <f t="shared" si="24"/>
        <v>#DIV/0!</v>
      </c>
      <c r="L58" s="1032">
        <f t="shared" si="25"/>
        <v>0</v>
      </c>
      <c r="O58" s="356" t="e">
        <f t="shared" si="27"/>
        <v>#DIV/0!</v>
      </c>
      <c r="P58" s="356">
        <f t="shared" si="27"/>
        <v>0</v>
      </c>
      <c r="Q58" s="356">
        <f t="shared" si="27"/>
        <v>0</v>
      </c>
      <c r="R58" s="356">
        <f t="shared" si="27"/>
        <v>0</v>
      </c>
      <c r="S58" s="356">
        <f t="shared" si="27"/>
        <v>0</v>
      </c>
      <c r="T58" s="356">
        <f t="shared" si="27"/>
        <v>0</v>
      </c>
      <c r="U58" s="356">
        <f t="shared" si="27"/>
        <v>0</v>
      </c>
      <c r="V58" s="356">
        <f t="shared" si="27"/>
        <v>0</v>
      </c>
      <c r="W58" s="356">
        <f t="shared" si="27"/>
        <v>0</v>
      </c>
      <c r="X58" s="356">
        <f t="shared" si="27"/>
        <v>0</v>
      </c>
      <c r="Y58" s="356">
        <f t="shared" si="27"/>
        <v>0</v>
      </c>
      <c r="Z58" s="356">
        <f t="shared" si="27"/>
        <v>0</v>
      </c>
      <c r="AA58" s="356">
        <f t="shared" si="27"/>
        <v>0</v>
      </c>
      <c r="AB58" s="356">
        <f t="shared" si="27"/>
        <v>0</v>
      </c>
      <c r="AC58" s="356">
        <f t="shared" si="27"/>
        <v>0</v>
      </c>
      <c r="AD58" s="356">
        <f t="shared" si="27"/>
        <v>0</v>
      </c>
      <c r="AE58" s="356">
        <f t="shared" si="26"/>
        <v>0</v>
      </c>
      <c r="AF58" s="356">
        <f t="shared" si="26"/>
        <v>0</v>
      </c>
      <c r="AG58" s="356">
        <f t="shared" si="26"/>
        <v>0</v>
      </c>
      <c r="AH58" s="356">
        <f t="shared" si="26"/>
        <v>0</v>
      </c>
      <c r="AI58" s="356">
        <f t="shared" si="26"/>
        <v>0</v>
      </c>
      <c r="AJ58" s="356">
        <f t="shared" si="26"/>
        <v>0</v>
      </c>
      <c r="AK58" s="356">
        <f t="shared" si="26"/>
        <v>0</v>
      </c>
      <c r="AL58" s="356">
        <f t="shared" si="26"/>
        <v>0</v>
      </c>
      <c r="AM58" s="356">
        <f t="shared" si="26"/>
        <v>0</v>
      </c>
      <c r="AN58" s="356">
        <f t="shared" si="26"/>
        <v>0</v>
      </c>
      <c r="AO58" s="356">
        <f t="shared" si="26"/>
        <v>0</v>
      </c>
      <c r="AP58" s="356">
        <f t="shared" si="26"/>
        <v>0</v>
      </c>
      <c r="AQ58" s="356">
        <f t="shared" si="26"/>
        <v>0</v>
      </c>
      <c r="AR58" s="356">
        <f t="shared" si="26"/>
        <v>0</v>
      </c>
      <c r="AS58" s="356">
        <f t="shared" si="26"/>
        <v>0</v>
      </c>
      <c r="AT58" s="356">
        <f t="shared" si="22"/>
        <v>0</v>
      </c>
      <c r="AU58" s="356">
        <f t="shared" si="22"/>
        <v>0</v>
      </c>
      <c r="AV58" s="356">
        <f t="shared" si="22"/>
        <v>0</v>
      </c>
      <c r="AW58" s="356">
        <f t="shared" si="22"/>
        <v>0</v>
      </c>
      <c r="AX58" s="356">
        <f t="shared" si="22"/>
        <v>0</v>
      </c>
      <c r="AY58" s="356">
        <f t="shared" si="22"/>
        <v>0</v>
      </c>
      <c r="AZ58" s="356">
        <f t="shared" ref="AZ58:BB58" si="28">IF($H58=AZ$13,(($B58-1)/12)*SLN($D58,$E58,$F58),IF($C58=AZ$13,((12-$G58)/12)*SLN($D58,$E58,$F58),IF(AND(AZ$13&gt;$C58,AZ$13&lt;$H58),SLN($D58,$E58,$F58),0)))</f>
        <v>0</v>
      </c>
      <c r="BA58" s="356">
        <f t="shared" si="28"/>
        <v>0</v>
      </c>
      <c r="BB58" s="356">
        <f t="shared" si="28"/>
        <v>0</v>
      </c>
      <c r="BC58" s="344">
        <v>46</v>
      </c>
    </row>
    <row r="59" spans="1:55" x14ac:dyDescent="0.25">
      <c r="A59" s="1895"/>
      <c r="B59" s="1895"/>
      <c r="C59" s="2028"/>
      <c r="D59" s="1897"/>
      <c r="E59" s="1897"/>
      <c r="F59" s="1897"/>
      <c r="G59" s="358" t="str">
        <f t="shared" si="16"/>
        <v xml:space="preserve"> </v>
      </c>
      <c r="H59" s="1031">
        <f t="shared" si="17"/>
        <v>0</v>
      </c>
      <c r="I59" s="356" t="e">
        <f t="shared" si="23"/>
        <v>#DIV/0!</v>
      </c>
      <c r="J59" s="5" t="e">
        <f t="shared" si="18"/>
        <v>#DIV/0!</v>
      </c>
      <c r="K59" s="35" t="e">
        <f t="shared" si="24"/>
        <v>#DIV/0!</v>
      </c>
      <c r="L59" s="1032">
        <f t="shared" si="25"/>
        <v>0</v>
      </c>
      <c r="O59" s="356" t="e">
        <f t="shared" si="27"/>
        <v>#DIV/0!</v>
      </c>
      <c r="P59" s="356">
        <f t="shared" si="27"/>
        <v>0</v>
      </c>
      <c r="Q59" s="356">
        <f t="shared" si="27"/>
        <v>0</v>
      </c>
      <c r="R59" s="356">
        <f t="shared" si="27"/>
        <v>0</v>
      </c>
      <c r="S59" s="356">
        <f t="shared" si="27"/>
        <v>0</v>
      </c>
      <c r="T59" s="356">
        <f t="shared" si="27"/>
        <v>0</v>
      </c>
      <c r="U59" s="356">
        <f t="shared" si="27"/>
        <v>0</v>
      </c>
      <c r="V59" s="356">
        <f t="shared" si="27"/>
        <v>0</v>
      </c>
      <c r="W59" s="356">
        <f t="shared" si="27"/>
        <v>0</v>
      </c>
      <c r="X59" s="356">
        <f t="shared" si="27"/>
        <v>0</v>
      </c>
      <c r="Y59" s="356">
        <f t="shared" si="27"/>
        <v>0</v>
      </c>
      <c r="Z59" s="356">
        <f t="shared" si="27"/>
        <v>0</v>
      </c>
      <c r="AA59" s="356">
        <f t="shared" si="27"/>
        <v>0</v>
      </c>
      <c r="AB59" s="356">
        <f t="shared" si="27"/>
        <v>0</v>
      </c>
      <c r="AC59" s="356">
        <f t="shared" si="27"/>
        <v>0</v>
      </c>
      <c r="AD59" s="356">
        <f t="shared" si="27"/>
        <v>0</v>
      </c>
      <c r="AE59" s="356">
        <f t="shared" si="26"/>
        <v>0</v>
      </c>
      <c r="AF59" s="356">
        <f t="shared" si="26"/>
        <v>0</v>
      </c>
      <c r="AG59" s="356">
        <f t="shared" si="26"/>
        <v>0</v>
      </c>
      <c r="AH59" s="356">
        <f t="shared" si="26"/>
        <v>0</v>
      </c>
      <c r="AI59" s="356">
        <f t="shared" si="26"/>
        <v>0</v>
      </c>
      <c r="AJ59" s="356">
        <f t="shared" si="26"/>
        <v>0</v>
      </c>
      <c r="AK59" s="356">
        <f t="shared" si="26"/>
        <v>0</v>
      </c>
      <c r="AL59" s="356">
        <f t="shared" si="26"/>
        <v>0</v>
      </c>
      <c r="AM59" s="356">
        <f t="shared" si="26"/>
        <v>0</v>
      </c>
      <c r="AN59" s="356">
        <f t="shared" si="26"/>
        <v>0</v>
      </c>
      <c r="AO59" s="356">
        <f t="shared" si="26"/>
        <v>0</v>
      </c>
      <c r="AP59" s="356">
        <f t="shared" si="26"/>
        <v>0</v>
      </c>
      <c r="AQ59" s="356">
        <f t="shared" si="26"/>
        <v>0</v>
      </c>
      <c r="AR59" s="356">
        <f t="shared" si="26"/>
        <v>0</v>
      </c>
      <c r="AS59" s="356">
        <f t="shared" si="26"/>
        <v>0</v>
      </c>
      <c r="AT59" s="356">
        <f t="shared" ref="AT59:BB87" si="29">IF($H59=AT$13,(($B59-1)/12)*SLN($D59,$E59,$F59),IF($C59=AT$13,((12-$G59)/12)*SLN($D59,$E59,$F59),IF(AND(AT$13&gt;$C59,AT$13&lt;$H59),SLN($D59,$E59,$F59),0)))</f>
        <v>0</v>
      </c>
      <c r="AU59" s="356">
        <f t="shared" si="29"/>
        <v>0</v>
      </c>
      <c r="AV59" s="356">
        <f t="shared" si="29"/>
        <v>0</v>
      </c>
      <c r="AW59" s="356">
        <f t="shared" si="29"/>
        <v>0</v>
      </c>
      <c r="AX59" s="356">
        <f t="shared" si="29"/>
        <v>0</v>
      </c>
      <c r="AY59" s="356">
        <f t="shared" si="29"/>
        <v>0</v>
      </c>
      <c r="AZ59" s="356">
        <f t="shared" si="29"/>
        <v>0</v>
      </c>
      <c r="BA59" s="356">
        <f t="shared" si="29"/>
        <v>0</v>
      </c>
      <c r="BB59" s="356">
        <f t="shared" si="29"/>
        <v>0</v>
      </c>
      <c r="BC59" s="344">
        <v>47</v>
      </c>
    </row>
    <row r="60" spans="1:55" x14ac:dyDescent="0.25">
      <c r="A60" s="1895"/>
      <c r="B60" s="1895"/>
      <c r="C60" s="2028"/>
      <c r="D60" s="1897"/>
      <c r="E60" s="1897"/>
      <c r="F60" s="1897"/>
      <c r="G60" s="358" t="str">
        <f t="shared" si="16"/>
        <v xml:space="preserve"> </v>
      </c>
      <c r="H60" s="1031">
        <f t="shared" si="17"/>
        <v>0</v>
      </c>
      <c r="I60" s="356" t="e">
        <f t="shared" si="23"/>
        <v>#DIV/0!</v>
      </c>
      <c r="J60" s="5" t="e">
        <f t="shared" si="18"/>
        <v>#DIV/0!</v>
      </c>
      <c r="K60" s="35" t="e">
        <f t="shared" si="24"/>
        <v>#DIV/0!</v>
      </c>
      <c r="L60" s="1032">
        <f t="shared" si="25"/>
        <v>0</v>
      </c>
      <c r="O60" s="356" t="e">
        <f t="shared" si="27"/>
        <v>#DIV/0!</v>
      </c>
      <c r="P60" s="356">
        <f t="shared" si="27"/>
        <v>0</v>
      </c>
      <c r="Q60" s="356">
        <f t="shared" si="27"/>
        <v>0</v>
      </c>
      <c r="R60" s="356">
        <f t="shared" si="27"/>
        <v>0</v>
      </c>
      <c r="S60" s="356">
        <f t="shared" si="27"/>
        <v>0</v>
      </c>
      <c r="T60" s="356">
        <f t="shared" si="27"/>
        <v>0</v>
      </c>
      <c r="U60" s="356">
        <f t="shared" si="27"/>
        <v>0</v>
      </c>
      <c r="V60" s="356">
        <f t="shared" si="27"/>
        <v>0</v>
      </c>
      <c r="W60" s="356">
        <f t="shared" si="27"/>
        <v>0</v>
      </c>
      <c r="X60" s="356">
        <f t="shared" si="27"/>
        <v>0</v>
      </c>
      <c r="Y60" s="356">
        <f t="shared" si="27"/>
        <v>0</v>
      </c>
      <c r="Z60" s="356">
        <f t="shared" si="27"/>
        <v>0</v>
      </c>
      <c r="AA60" s="356">
        <f t="shared" si="27"/>
        <v>0</v>
      </c>
      <c r="AB60" s="356">
        <f t="shared" si="27"/>
        <v>0</v>
      </c>
      <c r="AC60" s="356">
        <f t="shared" si="27"/>
        <v>0</v>
      </c>
      <c r="AD60" s="356">
        <f t="shared" si="27"/>
        <v>0</v>
      </c>
      <c r="AE60" s="356">
        <f t="shared" si="26"/>
        <v>0</v>
      </c>
      <c r="AF60" s="356">
        <f t="shared" si="26"/>
        <v>0</v>
      </c>
      <c r="AG60" s="356">
        <f t="shared" si="26"/>
        <v>0</v>
      </c>
      <c r="AH60" s="356">
        <f t="shared" si="26"/>
        <v>0</v>
      </c>
      <c r="AI60" s="356">
        <f t="shared" si="26"/>
        <v>0</v>
      </c>
      <c r="AJ60" s="356">
        <f t="shared" si="26"/>
        <v>0</v>
      </c>
      <c r="AK60" s="356">
        <f t="shared" si="26"/>
        <v>0</v>
      </c>
      <c r="AL60" s="356">
        <f t="shared" si="26"/>
        <v>0</v>
      </c>
      <c r="AM60" s="356">
        <f t="shared" si="26"/>
        <v>0</v>
      </c>
      <c r="AN60" s="356">
        <f t="shared" si="26"/>
        <v>0</v>
      </c>
      <c r="AO60" s="356">
        <f t="shared" si="26"/>
        <v>0</v>
      </c>
      <c r="AP60" s="356">
        <f t="shared" si="26"/>
        <v>0</v>
      </c>
      <c r="AQ60" s="356">
        <f t="shared" si="26"/>
        <v>0</v>
      </c>
      <c r="AR60" s="356">
        <f t="shared" si="26"/>
        <v>0</v>
      </c>
      <c r="AS60" s="356">
        <f t="shared" si="26"/>
        <v>0</v>
      </c>
      <c r="AT60" s="356">
        <f t="shared" si="29"/>
        <v>0</v>
      </c>
      <c r="AU60" s="356">
        <f t="shared" si="29"/>
        <v>0</v>
      </c>
      <c r="AV60" s="356">
        <f t="shared" si="29"/>
        <v>0</v>
      </c>
      <c r="AW60" s="356">
        <f t="shared" si="29"/>
        <v>0</v>
      </c>
      <c r="AX60" s="356">
        <f t="shared" si="29"/>
        <v>0</v>
      </c>
      <c r="AY60" s="356">
        <f t="shared" si="29"/>
        <v>0</v>
      </c>
      <c r="AZ60" s="356">
        <f t="shared" si="29"/>
        <v>0</v>
      </c>
      <c r="BA60" s="356">
        <f t="shared" si="29"/>
        <v>0</v>
      </c>
      <c r="BB60" s="356">
        <f t="shared" si="29"/>
        <v>0</v>
      </c>
      <c r="BC60" s="344">
        <v>48</v>
      </c>
    </row>
    <row r="61" spans="1:55" x14ac:dyDescent="0.25">
      <c r="A61" s="1895"/>
      <c r="B61" s="1895"/>
      <c r="C61" s="2028"/>
      <c r="D61" s="1897"/>
      <c r="E61" s="1897"/>
      <c r="F61" s="1897"/>
      <c r="G61" s="358" t="str">
        <f t="shared" si="16"/>
        <v xml:space="preserve"> </v>
      </c>
      <c r="H61" s="1031">
        <f t="shared" si="17"/>
        <v>0</v>
      </c>
      <c r="I61" s="356" t="e">
        <f t="shared" si="23"/>
        <v>#DIV/0!</v>
      </c>
      <c r="J61" s="5" t="e">
        <f t="shared" si="18"/>
        <v>#DIV/0!</v>
      </c>
      <c r="K61" s="35" t="e">
        <f t="shared" si="24"/>
        <v>#DIV/0!</v>
      </c>
      <c r="L61" s="1032">
        <f t="shared" si="25"/>
        <v>0</v>
      </c>
      <c r="O61" s="356" t="e">
        <f t="shared" si="27"/>
        <v>#DIV/0!</v>
      </c>
      <c r="P61" s="356">
        <f t="shared" si="27"/>
        <v>0</v>
      </c>
      <c r="Q61" s="356">
        <f t="shared" si="27"/>
        <v>0</v>
      </c>
      <c r="R61" s="356">
        <f t="shared" si="27"/>
        <v>0</v>
      </c>
      <c r="S61" s="356">
        <f t="shared" si="27"/>
        <v>0</v>
      </c>
      <c r="T61" s="356">
        <f t="shared" si="27"/>
        <v>0</v>
      </c>
      <c r="U61" s="356">
        <f t="shared" si="27"/>
        <v>0</v>
      </c>
      <c r="V61" s="356">
        <f t="shared" si="27"/>
        <v>0</v>
      </c>
      <c r="W61" s="356">
        <f t="shared" si="27"/>
        <v>0</v>
      </c>
      <c r="X61" s="356">
        <f t="shared" si="27"/>
        <v>0</v>
      </c>
      <c r="Y61" s="356">
        <f t="shared" si="27"/>
        <v>0</v>
      </c>
      <c r="Z61" s="356">
        <f t="shared" si="27"/>
        <v>0</v>
      </c>
      <c r="AA61" s="356">
        <f t="shared" si="27"/>
        <v>0</v>
      </c>
      <c r="AB61" s="356">
        <f t="shared" si="27"/>
        <v>0</v>
      </c>
      <c r="AC61" s="356">
        <f t="shared" si="27"/>
        <v>0</v>
      </c>
      <c r="AD61" s="356">
        <f t="shared" si="27"/>
        <v>0</v>
      </c>
      <c r="AE61" s="356">
        <f t="shared" si="26"/>
        <v>0</v>
      </c>
      <c r="AF61" s="356">
        <f t="shared" si="26"/>
        <v>0</v>
      </c>
      <c r="AG61" s="356">
        <f t="shared" si="26"/>
        <v>0</v>
      </c>
      <c r="AH61" s="356">
        <f t="shared" si="26"/>
        <v>0</v>
      </c>
      <c r="AI61" s="356">
        <f t="shared" si="26"/>
        <v>0</v>
      </c>
      <c r="AJ61" s="356">
        <f t="shared" si="26"/>
        <v>0</v>
      </c>
      <c r="AK61" s="356">
        <f t="shared" si="26"/>
        <v>0</v>
      </c>
      <c r="AL61" s="356">
        <f t="shared" si="26"/>
        <v>0</v>
      </c>
      <c r="AM61" s="356">
        <f t="shared" si="26"/>
        <v>0</v>
      </c>
      <c r="AN61" s="356">
        <f t="shared" si="26"/>
        <v>0</v>
      </c>
      <c r="AO61" s="356">
        <f t="shared" si="26"/>
        <v>0</v>
      </c>
      <c r="AP61" s="356">
        <f t="shared" si="26"/>
        <v>0</v>
      </c>
      <c r="AQ61" s="356">
        <f t="shared" si="26"/>
        <v>0</v>
      </c>
      <c r="AR61" s="356">
        <f t="shared" si="26"/>
        <v>0</v>
      </c>
      <c r="AS61" s="356">
        <f t="shared" si="26"/>
        <v>0</v>
      </c>
      <c r="AT61" s="356">
        <f t="shared" si="29"/>
        <v>0</v>
      </c>
      <c r="AU61" s="356">
        <f t="shared" si="29"/>
        <v>0</v>
      </c>
      <c r="AV61" s="356">
        <f t="shared" si="29"/>
        <v>0</v>
      </c>
      <c r="AW61" s="356">
        <f t="shared" si="29"/>
        <v>0</v>
      </c>
      <c r="AX61" s="356">
        <f t="shared" si="29"/>
        <v>0</v>
      </c>
      <c r="AY61" s="356">
        <f t="shared" si="29"/>
        <v>0</v>
      </c>
      <c r="AZ61" s="356">
        <f t="shared" si="29"/>
        <v>0</v>
      </c>
      <c r="BA61" s="356">
        <f t="shared" si="29"/>
        <v>0</v>
      </c>
      <c r="BB61" s="356">
        <f t="shared" si="29"/>
        <v>0</v>
      </c>
      <c r="BC61" s="344">
        <v>49</v>
      </c>
    </row>
    <row r="62" spans="1:55" x14ac:dyDescent="0.25">
      <c r="A62" s="1895"/>
      <c r="B62" s="1895"/>
      <c r="C62" s="2028"/>
      <c r="D62" s="1897"/>
      <c r="E62" s="1897"/>
      <c r="F62" s="1897"/>
      <c r="G62" s="358" t="str">
        <f t="shared" si="16"/>
        <v xml:space="preserve"> </v>
      </c>
      <c r="H62" s="1031">
        <f t="shared" si="17"/>
        <v>0</v>
      </c>
      <c r="I62" s="356" t="e">
        <f t="shared" si="23"/>
        <v>#DIV/0!</v>
      </c>
      <c r="J62" s="5" t="e">
        <f t="shared" si="18"/>
        <v>#DIV/0!</v>
      </c>
      <c r="K62" s="35" t="e">
        <f t="shared" si="24"/>
        <v>#DIV/0!</v>
      </c>
      <c r="L62" s="1032">
        <f t="shared" si="25"/>
        <v>0</v>
      </c>
      <c r="O62" s="356" t="e">
        <f t="shared" si="27"/>
        <v>#DIV/0!</v>
      </c>
      <c r="P62" s="356">
        <f t="shared" si="27"/>
        <v>0</v>
      </c>
      <c r="Q62" s="356">
        <f t="shared" si="27"/>
        <v>0</v>
      </c>
      <c r="R62" s="356">
        <f t="shared" si="27"/>
        <v>0</v>
      </c>
      <c r="S62" s="356">
        <f t="shared" si="27"/>
        <v>0</v>
      </c>
      <c r="T62" s="356">
        <f t="shared" si="27"/>
        <v>0</v>
      </c>
      <c r="U62" s="356">
        <f t="shared" si="27"/>
        <v>0</v>
      </c>
      <c r="V62" s="356">
        <f t="shared" si="27"/>
        <v>0</v>
      </c>
      <c r="W62" s="356">
        <f t="shared" si="27"/>
        <v>0</v>
      </c>
      <c r="X62" s="356">
        <f t="shared" si="27"/>
        <v>0</v>
      </c>
      <c r="Y62" s="356">
        <f t="shared" si="27"/>
        <v>0</v>
      </c>
      <c r="Z62" s="356">
        <f t="shared" si="27"/>
        <v>0</v>
      </c>
      <c r="AA62" s="356">
        <f t="shared" si="27"/>
        <v>0</v>
      </c>
      <c r="AB62" s="356">
        <f t="shared" si="27"/>
        <v>0</v>
      </c>
      <c r="AC62" s="356">
        <f t="shared" si="27"/>
        <v>0</v>
      </c>
      <c r="AD62" s="356">
        <f t="shared" si="27"/>
        <v>0</v>
      </c>
      <c r="AE62" s="356">
        <f t="shared" si="26"/>
        <v>0</v>
      </c>
      <c r="AF62" s="356">
        <f t="shared" si="26"/>
        <v>0</v>
      </c>
      <c r="AG62" s="356">
        <f t="shared" si="26"/>
        <v>0</v>
      </c>
      <c r="AH62" s="356">
        <f t="shared" si="26"/>
        <v>0</v>
      </c>
      <c r="AI62" s="356">
        <f t="shared" si="26"/>
        <v>0</v>
      </c>
      <c r="AJ62" s="356">
        <f t="shared" si="26"/>
        <v>0</v>
      </c>
      <c r="AK62" s="356">
        <f t="shared" si="26"/>
        <v>0</v>
      </c>
      <c r="AL62" s="356">
        <f t="shared" si="26"/>
        <v>0</v>
      </c>
      <c r="AM62" s="356">
        <f t="shared" si="26"/>
        <v>0</v>
      </c>
      <c r="AN62" s="356">
        <f t="shared" si="26"/>
        <v>0</v>
      </c>
      <c r="AO62" s="356">
        <f t="shared" si="26"/>
        <v>0</v>
      </c>
      <c r="AP62" s="356">
        <f t="shared" si="26"/>
        <v>0</v>
      </c>
      <c r="AQ62" s="356">
        <f t="shared" si="26"/>
        <v>0</v>
      </c>
      <c r="AR62" s="356">
        <f t="shared" si="26"/>
        <v>0</v>
      </c>
      <c r="AS62" s="356">
        <f t="shared" si="26"/>
        <v>0</v>
      </c>
      <c r="AT62" s="356">
        <f t="shared" si="29"/>
        <v>0</v>
      </c>
      <c r="AU62" s="356">
        <f t="shared" si="29"/>
        <v>0</v>
      </c>
      <c r="AV62" s="356">
        <f t="shared" si="29"/>
        <v>0</v>
      </c>
      <c r="AW62" s="356">
        <f t="shared" si="29"/>
        <v>0</v>
      </c>
      <c r="AX62" s="356">
        <f t="shared" si="29"/>
        <v>0</v>
      </c>
      <c r="AY62" s="356">
        <f t="shared" si="29"/>
        <v>0</v>
      </c>
      <c r="AZ62" s="356">
        <f t="shared" si="29"/>
        <v>0</v>
      </c>
      <c r="BA62" s="356">
        <f t="shared" si="29"/>
        <v>0</v>
      </c>
      <c r="BB62" s="356">
        <f t="shared" si="29"/>
        <v>0</v>
      </c>
      <c r="BC62" s="344">
        <v>50</v>
      </c>
    </row>
    <row r="63" spans="1:55" ht="18.75" x14ac:dyDescent="0.25">
      <c r="A63" s="1074" t="s">
        <v>457</v>
      </c>
      <c r="B63" s="1075"/>
      <c r="C63" s="1077"/>
      <c r="D63" s="1076">
        <f>SUM(D64:D82)</f>
        <v>0</v>
      </c>
      <c r="E63" s="1078"/>
      <c r="F63" s="1079"/>
      <c r="G63" s="1079"/>
      <c r="H63" s="1079"/>
      <c r="I63" s="1080" t="e">
        <f>SUM(I64:I82)</f>
        <v>#DIV/0!</v>
      </c>
      <c r="J63" s="1076" t="e">
        <f>SUM(J64:J82)</f>
        <v>#DIV/0!</v>
      </c>
      <c r="K63" s="1081" t="e">
        <f>SUM(K64:K82)</f>
        <v>#DIV/0!</v>
      </c>
      <c r="L63" s="1082">
        <f>SUM(L64:L82)</f>
        <v>0</v>
      </c>
      <c r="O63" s="356" t="e">
        <f t="shared" si="27"/>
        <v>#DIV/0!</v>
      </c>
      <c r="P63" s="356">
        <f t="shared" si="27"/>
        <v>0</v>
      </c>
      <c r="Q63" s="356">
        <f t="shared" si="27"/>
        <v>0</v>
      </c>
      <c r="R63" s="356">
        <f t="shared" si="27"/>
        <v>0</v>
      </c>
      <c r="S63" s="356">
        <f t="shared" si="27"/>
        <v>0</v>
      </c>
      <c r="T63" s="356">
        <f t="shared" si="27"/>
        <v>0</v>
      </c>
      <c r="U63" s="356">
        <f t="shared" si="27"/>
        <v>0</v>
      </c>
      <c r="V63" s="356">
        <f t="shared" si="27"/>
        <v>0</v>
      </c>
      <c r="W63" s="356">
        <f t="shared" si="27"/>
        <v>0</v>
      </c>
      <c r="X63" s="356">
        <f t="shared" si="27"/>
        <v>0</v>
      </c>
      <c r="Y63" s="356">
        <f t="shared" si="27"/>
        <v>0</v>
      </c>
      <c r="Z63" s="356">
        <f t="shared" si="27"/>
        <v>0</v>
      </c>
      <c r="AA63" s="356">
        <f t="shared" si="27"/>
        <v>0</v>
      </c>
      <c r="AB63" s="356">
        <f t="shared" si="27"/>
        <v>0</v>
      </c>
      <c r="AC63" s="356">
        <f t="shared" si="27"/>
        <v>0</v>
      </c>
      <c r="AD63" s="356">
        <f t="shared" si="27"/>
        <v>0</v>
      </c>
      <c r="AE63" s="356">
        <f t="shared" si="26"/>
        <v>0</v>
      </c>
      <c r="AF63" s="356">
        <f t="shared" si="26"/>
        <v>0</v>
      </c>
      <c r="AG63" s="356">
        <f t="shared" si="26"/>
        <v>0</v>
      </c>
      <c r="AH63" s="356">
        <f t="shared" si="26"/>
        <v>0</v>
      </c>
      <c r="AI63" s="356">
        <f t="shared" si="26"/>
        <v>0</v>
      </c>
      <c r="AJ63" s="356">
        <f t="shared" si="26"/>
        <v>0</v>
      </c>
      <c r="AK63" s="356">
        <f t="shared" si="26"/>
        <v>0</v>
      </c>
      <c r="AL63" s="356">
        <f t="shared" si="26"/>
        <v>0</v>
      </c>
      <c r="AM63" s="356">
        <f t="shared" si="26"/>
        <v>0</v>
      </c>
      <c r="AN63" s="356">
        <f t="shared" si="26"/>
        <v>0</v>
      </c>
      <c r="AO63" s="356">
        <f t="shared" si="26"/>
        <v>0</v>
      </c>
      <c r="AP63" s="356">
        <f t="shared" si="26"/>
        <v>0</v>
      </c>
      <c r="AQ63" s="356">
        <f t="shared" si="26"/>
        <v>0</v>
      </c>
      <c r="AR63" s="356">
        <f t="shared" si="26"/>
        <v>0</v>
      </c>
      <c r="AS63" s="356">
        <f t="shared" si="26"/>
        <v>0</v>
      </c>
      <c r="AT63" s="356">
        <f t="shared" si="29"/>
        <v>0</v>
      </c>
      <c r="AU63" s="356">
        <f t="shared" si="29"/>
        <v>0</v>
      </c>
      <c r="AV63" s="356">
        <f t="shared" si="29"/>
        <v>0</v>
      </c>
      <c r="AW63" s="356">
        <f t="shared" si="29"/>
        <v>0</v>
      </c>
      <c r="AX63" s="356">
        <f t="shared" si="29"/>
        <v>0</v>
      </c>
      <c r="AY63" s="356">
        <f t="shared" si="29"/>
        <v>0</v>
      </c>
      <c r="AZ63" s="356">
        <f t="shared" si="29"/>
        <v>0</v>
      </c>
      <c r="BA63" s="356">
        <f t="shared" si="29"/>
        <v>0</v>
      </c>
      <c r="BB63" s="356">
        <f t="shared" si="29"/>
        <v>0</v>
      </c>
      <c r="BC63" s="344">
        <v>51</v>
      </c>
    </row>
    <row r="64" spans="1:55" x14ac:dyDescent="0.25">
      <c r="A64" s="1895"/>
      <c r="B64" s="1895"/>
      <c r="C64" s="2028"/>
      <c r="D64" s="1897"/>
      <c r="E64" s="1897"/>
      <c r="F64" s="1897"/>
      <c r="G64" s="358" t="str">
        <f t="shared" si="16"/>
        <v xml:space="preserve"> </v>
      </c>
      <c r="H64" s="1031">
        <f t="shared" si="17"/>
        <v>0</v>
      </c>
      <c r="I64" s="356" t="e">
        <f t="shared" ref="I64:I82" si="30">HLOOKUP($B$11,$O$13:$BB$116,BC64,FALSE)</f>
        <v>#DIV/0!</v>
      </c>
      <c r="J64" s="5" t="e">
        <f t="shared" si="18"/>
        <v>#DIV/0!</v>
      </c>
      <c r="K64" s="35" t="e">
        <f t="shared" ref="K64:K82" si="31">IF(C64&gt;$B$11,0,D64-J64)</f>
        <v>#DIV/0!</v>
      </c>
      <c r="L64" s="1032">
        <f t="shared" ref="L64:L82" si="32">IF(((D64-E64)*(1-(0.05*($B$11-C64))))&lt;0,0,((D64-E64)*(1-(0.05*($B$11-C64)))))</f>
        <v>0</v>
      </c>
      <c r="O64" s="356" t="e">
        <f t="shared" si="27"/>
        <v>#DIV/0!</v>
      </c>
      <c r="P64" s="356">
        <f t="shared" si="27"/>
        <v>0</v>
      </c>
      <c r="Q64" s="356">
        <f t="shared" si="27"/>
        <v>0</v>
      </c>
      <c r="R64" s="356">
        <f t="shared" si="27"/>
        <v>0</v>
      </c>
      <c r="S64" s="356">
        <f t="shared" si="27"/>
        <v>0</v>
      </c>
      <c r="T64" s="356">
        <f t="shared" si="27"/>
        <v>0</v>
      </c>
      <c r="U64" s="356">
        <f t="shared" si="27"/>
        <v>0</v>
      </c>
      <c r="V64" s="356">
        <f t="shared" si="27"/>
        <v>0</v>
      </c>
      <c r="W64" s="356">
        <f t="shared" si="27"/>
        <v>0</v>
      </c>
      <c r="X64" s="356">
        <f t="shared" si="27"/>
        <v>0</v>
      </c>
      <c r="Y64" s="356">
        <f t="shared" si="27"/>
        <v>0</v>
      </c>
      <c r="Z64" s="356">
        <f t="shared" si="27"/>
        <v>0</v>
      </c>
      <c r="AA64" s="356">
        <f t="shared" si="27"/>
        <v>0</v>
      </c>
      <c r="AB64" s="356">
        <f t="shared" si="27"/>
        <v>0</v>
      </c>
      <c r="AC64" s="356">
        <f t="shared" si="27"/>
        <v>0</v>
      </c>
      <c r="AD64" s="356">
        <f t="shared" si="27"/>
        <v>0</v>
      </c>
      <c r="AE64" s="356">
        <f t="shared" si="26"/>
        <v>0</v>
      </c>
      <c r="AF64" s="356">
        <f t="shared" si="26"/>
        <v>0</v>
      </c>
      <c r="AG64" s="356">
        <f t="shared" si="26"/>
        <v>0</v>
      </c>
      <c r="AH64" s="356">
        <f t="shared" si="26"/>
        <v>0</v>
      </c>
      <c r="AI64" s="356">
        <f t="shared" si="26"/>
        <v>0</v>
      </c>
      <c r="AJ64" s="356">
        <f t="shared" si="26"/>
        <v>0</v>
      </c>
      <c r="AK64" s="356">
        <f t="shared" si="26"/>
        <v>0</v>
      </c>
      <c r="AL64" s="356">
        <f t="shared" si="26"/>
        <v>0</v>
      </c>
      <c r="AM64" s="356">
        <f t="shared" si="26"/>
        <v>0</v>
      </c>
      <c r="AN64" s="356">
        <f t="shared" si="26"/>
        <v>0</v>
      </c>
      <c r="AO64" s="356">
        <f t="shared" si="26"/>
        <v>0</v>
      </c>
      <c r="AP64" s="356">
        <f t="shared" si="26"/>
        <v>0</v>
      </c>
      <c r="AQ64" s="356">
        <f t="shared" si="26"/>
        <v>0</v>
      </c>
      <c r="AR64" s="356">
        <f t="shared" si="26"/>
        <v>0</v>
      </c>
      <c r="AS64" s="356">
        <f t="shared" si="26"/>
        <v>0</v>
      </c>
      <c r="AT64" s="356">
        <f t="shared" si="29"/>
        <v>0</v>
      </c>
      <c r="AU64" s="356">
        <f t="shared" si="29"/>
        <v>0</v>
      </c>
      <c r="AV64" s="356">
        <f t="shared" si="29"/>
        <v>0</v>
      </c>
      <c r="AW64" s="356">
        <f t="shared" si="29"/>
        <v>0</v>
      </c>
      <c r="AX64" s="356">
        <f t="shared" si="29"/>
        <v>0</v>
      </c>
      <c r="AY64" s="356">
        <f t="shared" si="29"/>
        <v>0</v>
      </c>
      <c r="AZ64" s="356">
        <f t="shared" si="29"/>
        <v>0</v>
      </c>
      <c r="BA64" s="356">
        <f t="shared" si="29"/>
        <v>0</v>
      </c>
      <c r="BB64" s="356">
        <f t="shared" si="29"/>
        <v>0</v>
      </c>
      <c r="BC64" s="344">
        <v>52</v>
      </c>
    </row>
    <row r="65" spans="1:55" x14ac:dyDescent="0.25">
      <c r="A65" s="1895"/>
      <c r="B65" s="1895"/>
      <c r="C65" s="2028"/>
      <c r="D65" s="1897"/>
      <c r="E65" s="1897"/>
      <c r="F65" s="1897"/>
      <c r="G65" s="358" t="str">
        <f t="shared" si="16"/>
        <v xml:space="preserve"> </v>
      </c>
      <c r="H65" s="1031">
        <f t="shared" si="17"/>
        <v>0</v>
      </c>
      <c r="I65" s="356" t="e">
        <f t="shared" si="30"/>
        <v>#DIV/0!</v>
      </c>
      <c r="J65" s="5" t="e">
        <f t="shared" si="18"/>
        <v>#DIV/0!</v>
      </c>
      <c r="K65" s="35" t="e">
        <f t="shared" si="31"/>
        <v>#DIV/0!</v>
      </c>
      <c r="L65" s="1032">
        <f t="shared" si="32"/>
        <v>0</v>
      </c>
      <c r="O65" s="356" t="e">
        <f t="shared" si="27"/>
        <v>#DIV/0!</v>
      </c>
      <c r="P65" s="356">
        <f t="shared" si="27"/>
        <v>0</v>
      </c>
      <c r="Q65" s="356">
        <f t="shared" si="27"/>
        <v>0</v>
      </c>
      <c r="R65" s="356">
        <f t="shared" si="27"/>
        <v>0</v>
      </c>
      <c r="S65" s="356">
        <f t="shared" si="27"/>
        <v>0</v>
      </c>
      <c r="T65" s="356">
        <f t="shared" si="27"/>
        <v>0</v>
      </c>
      <c r="U65" s="356">
        <f t="shared" si="27"/>
        <v>0</v>
      </c>
      <c r="V65" s="356">
        <f t="shared" si="27"/>
        <v>0</v>
      </c>
      <c r="W65" s="356">
        <f t="shared" si="27"/>
        <v>0</v>
      </c>
      <c r="X65" s="356">
        <f t="shared" si="27"/>
        <v>0</v>
      </c>
      <c r="Y65" s="356">
        <f t="shared" si="27"/>
        <v>0</v>
      </c>
      <c r="Z65" s="356">
        <f t="shared" si="27"/>
        <v>0</v>
      </c>
      <c r="AA65" s="356">
        <f t="shared" si="27"/>
        <v>0</v>
      </c>
      <c r="AB65" s="356">
        <f t="shared" si="27"/>
        <v>0</v>
      </c>
      <c r="AC65" s="356">
        <f t="shared" si="27"/>
        <v>0</v>
      </c>
      <c r="AD65" s="356">
        <f t="shared" si="27"/>
        <v>0</v>
      </c>
      <c r="AE65" s="356">
        <f t="shared" si="26"/>
        <v>0</v>
      </c>
      <c r="AF65" s="356">
        <f t="shared" si="26"/>
        <v>0</v>
      </c>
      <c r="AG65" s="356">
        <f t="shared" si="26"/>
        <v>0</v>
      </c>
      <c r="AH65" s="356">
        <f t="shared" si="26"/>
        <v>0</v>
      </c>
      <c r="AI65" s="356">
        <f t="shared" si="26"/>
        <v>0</v>
      </c>
      <c r="AJ65" s="356">
        <f t="shared" si="26"/>
        <v>0</v>
      </c>
      <c r="AK65" s="356">
        <f t="shared" si="26"/>
        <v>0</v>
      </c>
      <c r="AL65" s="356">
        <f t="shared" si="26"/>
        <v>0</v>
      </c>
      <c r="AM65" s="356">
        <f t="shared" si="26"/>
        <v>0</v>
      </c>
      <c r="AN65" s="356">
        <f t="shared" si="26"/>
        <v>0</v>
      </c>
      <c r="AO65" s="356">
        <f t="shared" si="26"/>
        <v>0</v>
      </c>
      <c r="AP65" s="356">
        <f t="shared" si="26"/>
        <v>0</v>
      </c>
      <c r="AQ65" s="356">
        <f t="shared" si="26"/>
        <v>0</v>
      </c>
      <c r="AR65" s="356">
        <f t="shared" si="26"/>
        <v>0</v>
      </c>
      <c r="AS65" s="356">
        <f t="shared" si="26"/>
        <v>0</v>
      </c>
      <c r="AT65" s="356">
        <f t="shared" si="29"/>
        <v>0</v>
      </c>
      <c r="AU65" s="356">
        <f t="shared" si="29"/>
        <v>0</v>
      </c>
      <c r="AV65" s="356">
        <f t="shared" si="29"/>
        <v>0</v>
      </c>
      <c r="AW65" s="356">
        <f t="shared" si="29"/>
        <v>0</v>
      </c>
      <c r="AX65" s="356">
        <f t="shared" si="29"/>
        <v>0</v>
      </c>
      <c r="AY65" s="356">
        <f t="shared" si="29"/>
        <v>0</v>
      </c>
      <c r="AZ65" s="356">
        <f t="shared" si="29"/>
        <v>0</v>
      </c>
      <c r="BA65" s="356">
        <f t="shared" si="29"/>
        <v>0</v>
      </c>
      <c r="BB65" s="356">
        <f t="shared" si="29"/>
        <v>0</v>
      </c>
      <c r="BC65" s="344">
        <v>53</v>
      </c>
    </row>
    <row r="66" spans="1:55" x14ac:dyDescent="0.25">
      <c r="A66" s="1895"/>
      <c r="B66" s="1895"/>
      <c r="C66" s="2028"/>
      <c r="D66" s="1897"/>
      <c r="E66" s="1897"/>
      <c r="F66" s="1897"/>
      <c r="G66" s="358" t="str">
        <f t="shared" si="16"/>
        <v xml:space="preserve"> </v>
      </c>
      <c r="H66" s="1031">
        <f t="shared" si="17"/>
        <v>0</v>
      </c>
      <c r="I66" s="356" t="e">
        <f t="shared" si="30"/>
        <v>#DIV/0!</v>
      </c>
      <c r="J66" s="5" t="e">
        <f t="shared" si="18"/>
        <v>#DIV/0!</v>
      </c>
      <c r="K66" s="35" t="e">
        <f t="shared" si="31"/>
        <v>#DIV/0!</v>
      </c>
      <c r="L66" s="1032">
        <f t="shared" si="32"/>
        <v>0</v>
      </c>
      <c r="O66" s="356" t="e">
        <f t="shared" si="27"/>
        <v>#DIV/0!</v>
      </c>
      <c r="P66" s="356">
        <f t="shared" si="27"/>
        <v>0</v>
      </c>
      <c r="Q66" s="356">
        <f t="shared" si="27"/>
        <v>0</v>
      </c>
      <c r="R66" s="356">
        <f t="shared" si="27"/>
        <v>0</v>
      </c>
      <c r="S66" s="356">
        <f t="shared" si="27"/>
        <v>0</v>
      </c>
      <c r="T66" s="356">
        <f t="shared" si="27"/>
        <v>0</v>
      </c>
      <c r="U66" s="356">
        <f t="shared" si="27"/>
        <v>0</v>
      </c>
      <c r="V66" s="356">
        <f t="shared" si="27"/>
        <v>0</v>
      </c>
      <c r="W66" s="356">
        <f t="shared" si="27"/>
        <v>0</v>
      </c>
      <c r="X66" s="356">
        <f t="shared" si="27"/>
        <v>0</v>
      </c>
      <c r="Y66" s="356">
        <f t="shared" si="27"/>
        <v>0</v>
      </c>
      <c r="Z66" s="356">
        <f t="shared" si="27"/>
        <v>0</v>
      </c>
      <c r="AA66" s="356">
        <f t="shared" si="27"/>
        <v>0</v>
      </c>
      <c r="AB66" s="356">
        <f t="shared" si="27"/>
        <v>0</v>
      </c>
      <c r="AC66" s="356">
        <f t="shared" si="27"/>
        <v>0</v>
      </c>
      <c r="AD66" s="356">
        <f t="shared" si="27"/>
        <v>0</v>
      </c>
      <c r="AE66" s="356">
        <f t="shared" si="26"/>
        <v>0</v>
      </c>
      <c r="AF66" s="356">
        <f t="shared" si="26"/>
        <v>0</v>
      </c>
      <c r="AG66" s="356">
        <f t="shared" si="26"/>
        <v>0</v>
      </c>
      <c r="AH66" s="356">
        <f t="shared" si="26"/>
        <v>0</v>
      </c>
      <c r="AI66" s="356">
        <f t="shared" si="26"/>
        <v>0</v>
      </c>
      <c r="AJ66" s="356">
        <f t="shared" si="26"/>
        <v>0</v>
      </c>
      <c r="AK66" s="356">
        <f t="shared" si="26"/>
        <v>0</v>
      </c>
      <c r="AL66" s="356">
        <f t="shared" si="26"/>
        <v>0</v>
      </c>
      <c r="AM66" s="356">
        <f t="shared" si="26"/>
        <v>0</v>
      </c>
      <c r="AN66" s="356">
        <f t="shared" si="26"/>
        <v>0</v>
      </c>
      <c r="AO66" s="356">
        <f t="shared" si="26"/>
        <v>0</v>
      </c>
      <c r="AP66" s="356">
        <f t="shared" si="26"/>
        <v>0</v>
      </c>
      <c r="AQ66" s="356">
        <f t="shared" si="26"/>
        <v>0</v>
      </c>
      <c r="AR66" s="356">
        <f t="shared" si="26"/>
        <v>0</v>
      </c>
      <c r="AS66" s="356">
        <f t="shared" si="26"/>
        <v>0</v>
      </c>
      <c r="AT66" s="356">
        <f t="shared" si="29"/>
        <v>0</v>
      </c>
      <c r="AU66" s="356">
        <f t="shared" si="29"/>
        <v>0</v>
      </c>
      <c r="AV66" s="356">
        <f t="shared" si="29"/>
        <v>0</v>
      </c>
      <c r="AW66" s="356">
        <f t="shared" si="29"/>
        <v>0</v>
      </c>
      <c r="AX66" s="356">
        <f t="shared" si="29"/>
        <v>0</v>
      </c>
      <c r="AY66" s="356">
        <f t="shared" si="29"/>
        <v>0</v>
      </c>
      <c r="AZ66" s="356">
        <f t="shared" si="29"/>
        <v>0</v>
      </c>
      <c r="BA66" s="356">
        <f t="shared" si="29"/>
        <v>0</v>
      </c>
      <c r="BB66" s="356">
        <f t="shared" si="29"/>
        <v>0</v>
      </c>
      <c r="BC66" s="344">
        <v>54</v>
      </c>
    </row>
    <row r="67" spans="1:55" x14ac:dyDescent="0.25">
      <c r="A67" s="1895"/>
      <c r="B67" s="1895"/>
      <c r="C67" s="2028"/>
      <c r="D67" s="1897"/>
      <c r="E67" s="1897"/>
      <c r="F67" s="1897"/>
      <c r="G67" s="358" t="str">
        <f t="shared" si="16"/>
        <v xml:space="preserve"> </v>
      </c>
      <c r="H67" s="1031">
        <f t="shared" si="17"/>
        <v>0</v>
      </c>
      <c r="I67" s="356" t="e">
        <f t="shared" si="30"/>
        <v>#DIV/0!</v>
      </c>
      <c r="J67" s="5" t="e">
        <f t="shared" si="18"/>
        <v>#DIV/0!</v>
      </c>
      <c r="K67" s="35" t="e">
        <f t="shared" si="31"/>
        <v>#DIV/0!</v>
      </c>
      <c r="L67" s="1032">
        <f t="shared" si="32"/>
        <v>0</v>
      </c>
      <c r="O67" s="356" t="e">
        <f t="shared" si="27"/>
        <v>#DIV/0!</v>
      </c>
      <c r="P67" s="356">
        <f t="shared" si="27"/>
        <v>0</v>
      </c>
      <c r="Q67" s="356">
        <f t="shared" si="27"/>
        <v>0</v>
      </c>
      <c r="R67" s="356">
        <f t="shared" si="27"/>
        <v>0</v>
      </c>
      <c r="S67" s="356">
        <f t="shared" si="27"/>
        <v>0</v>
      </c>
      <c r="T67" s="356">
        <f t="shared" si="27"/>
        <v>0</v>
      </c>
      <c r="U67" s="356">
        <f t="shared" si="27"/>
        <v>0</v>
      </c>
      <c r="V67" s="356">
        <f t="shared" si="27"/>
        <v>0</v>
      </c>
      <c r="W67" s="356">
        <f t="shared" si="27"/>
        <v>0</v>
      </c>
      <c r="X67" s="356">
        <f t="shared" si="27"/>
        <v>0</v>
      </c>
      <c r="Y67" s="356">
        <f t="shared" si="27"/>
        <v>0</v>
      </c>
      <c r="Z67" s="356">
        <f t="shared" si="27"/>
        <v>0</v>
      </c>
      <c r="AA67" s="356">
        <f t="shared" si="27"/>
        <v>0</v>
      </c>
      <c r="AB67" s="356">
        <f t="shared" si="27"/>
        <v>0</v>
      </c>
      <c r="AC67" s="356">
        <f t="shared" si="27"/>
        <v>0</v>
      </c>
      <c r="AD67" s="356">
        <f t="shared" si="27"/>
        <v>0</v>
      </c>
      <c r="AE67" s="356">
        <f t="shared" si="26"/>
        <v>0</v>
      </c>
      <c r="AF67" s="356">
        <f t="shared" si="26"/>
        <v>0</v>
      </c>
      <c r="AG67" s="356">
        <f t="shared" si="26"/>
        <v>0</v>
      </c>
      <c r="AH67" s="356">
        <f t="shared" si="26"/>
        <v>0</v>
      </c>
      <c r="AI67" s="356">
        <f t="shared" si="26"/>
        <v>0</v>
      </c>
      <c r="AJ67" s="356">
        <f t="shared" si="26"/>
        <v>0</v>
      </c>
      <c r="AK67" s="356">
        <f t="shared" si="26"/>
        <v>0</v>
      </c>
      <c r="AL67" s="356">
        <f t="shared" si="26"/>
        <v>0</v>
      </c>
      <c r="AM67" s="356">
        <f t="shared" si="26"/>
        <v>0</v>
      </c>
      <c r="AN67" s="356">
        <f t="shared" si="26"/>
        <v>0</v>
      </c>
      <c r="AO67" s="356">
        <f t="shared" si="26"/>
        <v>0</v>
      </c>
      <c r="AP67" s="356">
        <f t="shared" si="26"/>
        <v>0</v>
      </c>
      <c r="AQ67" s="356">
        <f t="shared" si="26"/>
        <v>0</v>
      </c>
      <c r="AR67" s="356">
        <f t="shared" si="26"/>
        <v>0</v>
      </c>
      <c r="AS67" s="356">
        <f t="shared" si="26"/>
        <v>0</v>
      </c>
      <c r="AT67" s="356">
        <f t="shared" si="29"/>
        <v>0</v>
      </c>
      <c r="AU67" s="356">
        <f t="shared" si="29"/>
        <v>0</v>
      </c>
      <c r="AV67" s="356">
        <f t="shared" si="29"/>
        <v>0</v>
      </c>
      <c r="AW67" s="356">
        <f t="shared" si="29"/>
        <v>0</v>
      </c>
      <c r="AX67" s="356">
        <f t="shared" si="29"/>
        <v>0</v>
      </c>
      <c r="AY67" s="356">
        <f t="shared" si="29"/>
        <v>0</v>
      </c>
      <c r="AZ67" s="356">
        <f t="shared" si="29"/>
        <v>0</v>
      </c>
      <c r="BA67" s="356">
        <f t="shared" si="29"/>
        <v>0</v>
      </c>
      <c r="BB67" s="356">
        <f t="shared" si="29"/>
        <v>0</v>
      </c>
      <c r="BC67" s="344">
        <v>55</v>
      </c>
    </row>
    <row r="68" spans="1:55" x14ac:dyDescent="0.25">
      <c r="A68" s="1895"/>
      <c r="B68" s="1895"/>
      <c r="C68" s="2028"/>
      <c r="D68" s="1897"/>
      <c r="E68" s="1897"/>
      <c r="F68" s="1897"/>
      <c r="G68" s="358" t="str">
        <f t="shared" si="16"/>
        <v xml:space="preserve"> </v>
      </c>
      <c r="H68" s="1031">
        <f t="shared" si="17"/>
        <v>0</v>
      </c>
      <c r="I68" s="356" t="e">
        <f t="shared" si="30"/>
        <v>#DIV/0!</v>
      </c>
      <c r="J68" s="5" t="e">
        <f t="shared" si="18"/>
        <v>#DIV/0!</v>
      </c>
      <c r="K68" s="35" t="e">
        <f t="shared" si="31"/>
        <v>#DIV/0!</v>
      </c>
      <c r="L68" s="1032">
        <f t="shared" si="32"/>
        <v>0</v>
      </c>
      <c r="O68" s="356" t="e">
        <f t="shared" si="27"/>
        <v>#DIV/0!</v>
      </c>
      <c r="P68" s="356">
        <f t="shared" si="27"/>
        <v>0</v>
      </c>
      <c r="Q68" s="356">
        <f t="shared" si="27"/>
        <v>0</v>
      </c>
      <c r="R68" s="356">
        <f t="shared" si="27"/>
        <v>0</v>
      </c>
      <c r="S68" s="356">
        <f t="shared" si="27"/>
        <v>0</v>
      </c>
      <c r="T68" s="356">
        <f t="shared" si="27"/>
        <v>0</v>
      </c>
      <c r="U68" s="356">
        <f t="shared" si="27"/>
        <v>0</v>
      </c>
      <c r="V68" s="356">
        <f t="shared" si="27"/>
        <v>0</v>
      </c>
      <c r="W68" s="356">
        <f t="shared" si="27"/>
        <v>0</v>
      </c>
      <c r="X68" s="356">
        <f t="shared" si="27"/>
        <v>0</v>
      </c>
      <c r="Y68" s="356">
        <f t="shared" si="27"/>
        <v>0</v>
      </c>
      <c r="Z68" s="356">
        <f t="shared" si="27"/>
        <v>0</v>
      </c>
      <c r="AA68" s="356">
        <f t="shared" si="27"/>
        <v>0</v>
      </c>
      <c r="AB68" s="356">
        <f t="shared" si="27"/>
        <v>0</v>
      </c>
      <c r="AC68" s="356">
        <f t="shared" si="27"/>
        <v>0</v>
      </c>
      <c r="AD68" s="356">
        <f t="shared" ref="AD68:AS83" si="33">IF($H68=AD$13,(($B68-1)/12)*SLN($D68,$E68,$F68),IF($C68=AD$13,((12-$G68)/12)*SLN($D68,$E68,$F68),IF(AND(AD$13&gt;$C68,AD$13&lt;$H68),SLN($D68,$E68,$F68),0)))</f>
        <v>0</v>
      </c>
      <c r="AE68" s="356">
        <f t="shared" si="33"/>
        <v>0</v>
      </c>
      <c r="AF68" s="356">
        <f t="shared" si="33"/>
        <v>0</v>
      </c>
      <c r="AG68" s="356">
        <f t="shared" si="33"/>
        <v>0</v>
      </c>
      <c r="AH68" s="356">
        <f t="shared" si="33"/>
        <v>0</v>
      </c>
      <c r="AI68" s="356">
        <f t="shared" si="33"/>
        <v>0</v>
      </c>
      <c r="AJ68" s="356">
        <f t="shared" si="33"/>
        <v>0</v>
      </c>
      <c r="AK68" s="356">
        <f t="shared" si="33"/>
        <v>0</v>
      </c>
      <c r="AL68" s="356">
        <f t="shared" si="33"/>
        <v>0</v>
      </c>
      <c r="AM68" s="356">
        <f t="shared" si="33"/>
        <v>0</v>
      </c>
      <c r="AN68" s="356">
        <f t="shared" si="33"/>
        <v>0</v>
      </c>
      <c r="AO68" s="356">
        <f t="shared" si="33"/>
        <v>0</v>
      </c>
      <c r="AP68" s="356">
        <f t="shared" si="33"/>
        <v>0</v>
      </c>
      <c r="AQ68" s="356">
        <f t="shared" si="33"/>
        <v>0</v>
      </c>
      <c r="AR68" s="356">
        <f t="shared" si="33"/>
        <v>0</v>
      </c>
      <c r="AS68" s="356">
        <f t="shared" si="33"/>
        <v>0</v>
      </c>
      <c r="AT68" s="356">
        <f t="shared" si="29"/>
        <v>0</v>
      </c>
      <c r="AU68" s="356">
        <f t="shared" si="29"/>
        <v>0</v>
      </c>
      <c r="AV68" s="356">
        <f t="shared" si="29"/>
        <v>0</v>
      </c>
      <c r="AW68" s="356">
        <f t="shared" si="29"/>
        <v>0</v>
      </c>
      <c r="AX68" s="356">
        <f t="shared" si="29"/>
        <v>0</v>
      </c>
      <c r="AY68" s="356">
        <f t="shared" si="29"/>
        <v>0</v>
      </c>
      <c r="AZ68" s="356">
        <f t="shared" si="29"/>
        <v>0</v>
      </c>
      <c r="BA68" s="356">
        <f t="shared" si="29"/>
        <v>0</v>
      </c>
      <c r="BB68" s="356">
        <f t="shared" si="29"/>
        <v>0</v>
      </c>
      <c r="BC68" s="344">
        <v>56</v>
      </c>
    </row>
    <row r="69" spans="1:55" x14ac:dyDescent="0.25">
      <c r="A69" s="1895"/>
      <c r="B69" s="1895"/>
      <c r="C69" s="2028"/>
      <c r="D69" s="1897"/>
      <c r="E69" s="1897"/>
      <c r="F69" s="1897"/>
      <c r="G69" s="358" t="str">
        <f t="shared" si="16"/>
        <v xml:space="preserve"> </v>
      </c>
      <c r="H69" s="1031">
        <f t="shared" si="17"/>
        <v>0</v>
      </c>
      <c r="I69" s="356" t="e">
        <f t="shared" si="30"/>
        <v>#DIV/0!</v>
      </c>
      <c r="J69" s="5" t="e">
        <f t="shared" si="18"/>
        <v>#DIV/0!</v>
      </c>
      <c r="K69" s="35" t="e">
        <f t="shared" si="31"/>
        <v>#DIV/0!</v>
      </c>
      <c r="L69" s="1032">
        <f t="shared" si="32"/>
        <v>0</v>
      </c>
      <c r="O69" s="356" t="e">
        <f t="shared" ref="O69:AD84" si="34">IF($H69=O$13,(($B69-1)/12)*SLN($D69,$E69,$F69),IF($C69=O$13,((12-$G69)/12)*SLN($D69,$E69,$F69),IF(AND(O$13&gt;$C69,O$13&lt;$H69),SLN($D69,$E69,$F69),0)))</f>
        <v>#DIV/0!</v>
      </c>
      <c r="P69" s="356">
        <f t="shared" si="34"/>
        <v>0</v>
      </c>
      <c r="Q69" s="356">
        <f t="shared" si="34"/>
        <v>0</v>
      </c>
      <c r="R69" s="356">
        <f t="shared" si="34"/>
        <v>0</v>
      </c>
      <c r="S69" s="356">
        <f t="shared" si="34"/>
        <v>0</v>
      </c>
      <c r="T69" s="356">
        <f t="shared" si="34"/>
        <v>0</v>
      </c>
      <c r="U69" s="356">
        <f t="shared" si="34"/>
        <v>0</v>
      </c>
      <c r="V69" s="356">
        <f t="shared" si="34"/>
        <v>0</v>
      </c>
      <c r="W69" s="356">
        <f t="shared" si="34"/>
        <v>0</v>
      </c>
      <c r="X69" s="356">
        <f t="shared" si="34"/>
        <v>0</v>
      </c>
      <c r="Y69" s="356">
        <f t="shared" si="34"/>
        <v>0</v>
      </c>
      <c r="Z69" s="356">
        <f t="shared" si="34"/>
        <v>0</v>
      </c>
      <c r="AA69" s="356">
        <f t="shared" si="34"/>
        <v>0</v>
      </c>
      <c r="AB69" s="356">
        <f t="shared" si="34"/>
        <v>0</v>
      </c>
      <c r="AC69" s="356">
        <f t="shared" si="34"/>
        <v>0</v>
      </c>
      <c r="AD69" s="356">
        <f t="shared" si="34"/>
        <v>0</v>
      </c>
      <c r="AE69" s="356">
        <f t="shared" si="33"/>
        <v>0</v>
      </c>
      <c r="AF69" s="356">
        <f t="shared" si="33"/>
        <v>0</v>
      </c>
      <c r="AG69" s="356">
        <f t="shared" si="33"/>
        <v>0</v>
      </c>
      <c r="AH69" s="356">
        <f t="shared" si="33"/>
        <v>0</v>
      </c>
      <c r="AI69" s="356">
        <f t="shared" si="33"/>
        <v>0</v>
      </c>
      <c r="AJ69" s="356">
        <f t="shared" si="33"/>
        <v>0</v>
      </c>
      <c r="AK69" s="356">
        <f t="shared" si="33"/>
        <v>0</v>
      </c>
      <c r="AL69" s="356">
        <f t="shared" si="33"/>
        <v>0</v>
      </c>
      <c r="AM69" s="356">
        <f t="shared" si="33"/>
        <v>0</v>
      </c>
      <c r="AN69" s="356">
        <f t="shared" si="33"/>
        <v>0</v>
      </c>
      <c r="AO69" s="356">
        <f t="shared" si="33"/>
        <v>0</v>
      </c>
      <c r="AP69" s="356">
        <f t="shared" si="33"/>
        <v>0</v>
      </c>
      <c r="AQ69" s="356">
        <f t="shared" si="33"/>
        <v>0</v>
      </c>
      <c r="AR69" s="356">
        <f t="shared" si="33"/>
        <v>0</v>
      </c>
      <c r="AS69" s="356">
        <f t="shared" si="33"/>
        <v>0</v>
      </c>
      <c r="AT69" s="356">
        <f t="shared" si="29"/>
        <v>0</v>
      </c>
      <c r="AU69" s="356">
        <f t="shared" si="29"/>
        <v>0</v>
      </c>
      <c r="AV69" s="356">
        <f t="shared" si="29"/>
        <v>0</v>
      </c>
      <c r="AW69" s="356">
        <f t="shared" si="29"/>
        <v>0</v>
      </c>
      <c r="AX69" s="356">
        <f t="shared" si="29"/>
        <v>0</v>
      </c>
      <c r="AY69" s="356">
        <f t="shared" si="29"/>
        <v>0</v>
      </c>
      <c r="AZ69" s="356">
        <f t="shared" si="29"/>
        <v>0</v>
      </c>
      <c r="BA69" s="356">
        <f t="shared" si="29"/>
        <v>0</v>
      </c>
      <c r="BB69" s="356">
        <f t="shared" si="29"/>
        <v>0</v>
      </c>
      <c r="BC69" s="344">
        <v>57</v>
      </c>
    </row>
    <row r="70" spans="1:55" x14ac:dyDescent="0.25">
      <c r="A70" s="1895"/>
      <c r="B70" s="1895"/>
      <c r="C70" s="2028"/>
      <c r="D70" s="1897"/>
      <c r="E70" s="1897"/>
      <c r="F70" s="1897"/>
      <c r="G70" s="358" t="str">
        <f t="shared" si="16"/>
        <v xml:space="preserve"> </v>
      </c>
      <c r="H70" s="1031">
        <f t="shared" si="17"/>
        <v>0</v>
      </c>
      <c r="I70" s="356" t="e">
        <f t="shared" si="30"/>
        <v>#DIV/0!</v>
      </c>
      <c r="J70" s="5" t="e">
        <f t="shared" si="18"/>
        <v>#DIV/0!</v>
      </c>
      <c r="K70" s="35" t="e">
        <f t="shared" si="31"/>
        <v>#DIV/0!</v>
      </c>
      <c r="L70" s="1032">
        <f t="shared" si="32"/>
        <v>0</v>
      </c>
      <c r="O70" s="356" t="e">
        <f t="shared" si="34"/>
        <v>#DIV/0!</v>
      </c>
      <c r="P70" s="356">
        <f t="shared" si="34"/>
        <v>0</v>
      </c>
      <c r="Q70" s="356">
        <f t="shared" si="34"/>
        <v>0</v>
      </c>
      <c r="R70" s="356">
        <f t="shared" si="34"/>
        <v>0</v>
      </c>
      <c r="S70" s="356">
        <f t="shared" si="34"/>
        <v>0</v>
      </c>
      <c r="T70" s="356">
        <f t="shared" si="34"/>
        <v>0</v>
      </c>
      <c r="U70" s="356">
        <f t="shared" si="34"/>
        <v>0</v>
      </c>
      <c r="V70" s="356">
        <f t="shared" si="34"/>
        <v>0</v>
      </c>
      <c r="W70" s="356">
        <f t="shared" si="34"/>
        <v>0</v>
      </c>
      <c r="X70" s="356">
        <f t="shared" si="34"/>
        <v>0</v>
      </c>
      <c r="Y70" s="356">
        <f t="shared" si="34"/>
        <v>0</v>
      </c>
      <c r="Z70" s="356">
        <f t="shared" si="34"/>
        <v>0</v>
      </c>
      <c r="AA70" s="356">
        <f t="shared" si="34"/>
        <v>0</v>
      </c>
      <c r="AB70" s="356">
        <f t="shared" si="34"/>
        <v>0</v>
      </c>
      <c r="AC70" s="356">
        <f t="shared" si="34"/>
        <v>0</v>
      </c>
      <c r="AD70" s="356">
        <f t="shared" si="34"/>
        <v>0</v>
      </c>
      <c r="AE70" s="356">
        <f t="shared" si="33"/>
        <v>0</v>
      </c>
      <c r="AF70" s="356">
        <f t="shared" si="33"/>
        <v>0</v>
      </c>
      <c r="AG70" s="356">
        <f t="shared" si="33"/>
        <v>0</v>
      </c>
      <c r="AH70" s="356">
        <f t="shared" si="33"/>
        <v>0</v>
      </c>
      <c r="AI70" s="356">
        <f t="shared" si="33"/>
        <v>0</v>
      </c>
      <c r="AJ70" s="356">
        <f t="shared" si="33"/>
        <v>0</v>
      </c>
      <c r="AK70" s="356">
        <f t="shared" si="33"/>
        <v>0</v>
      </c>
      <c r="AL70" s="356">
        <f t="shared" si="33"/>
        <v>0</v>
      </c>
      <c r="AM70" s="356">
        <f t="shared" si="33"/>
        <v>0</v>
      </c>
      <c r="AN70" s="356">
        <f t="shared" si="33"/>
        <v>0</v>
      </c>
      <c r="AO70" s="356">
        <f t="shared" si="33"/>
        <v>0</v>
      </c>
      <c r="AP70" s="356">
        <f t="shared" si="33"/>
        <v>0</v>
      </c>
      <c r="AQ70" s="356">
        <f t="shared" si="33"/>
        <v>0</v>
      </c>
      <c r="AR70" s="356">
        <f t="shared" si="33"/>
        <v>0</v>
      </c>
      <c r="AS70" s="356">
        <f t="shared" si="33"/>
        <v>0</v>
      </c>
      <c r="AT70" s="356">
        <f t="shared" si="29"/>
        <v>0</v>
      </c>
      <c r="AU70" s="356">
        <f t="shared" si="29"/>
        <v>0</v>
      </c>
      <c r="AV70" s="356">
        <f t="shared" si="29"/>
        <v>0</v>
      </c>
      <c r="AW70" s="356">
        <f t="shared" si="29"/>
        <v>0</v>
      </c>
      <c r="AX70" s="356">
        <f t="shared" si="29"/>
        <v>0</v>
      </c>
      <c r="AY70" s="356">
        <f t="shared" si="29"/>
        <v>0</v>
      </c>
      <c r="AZ70" s="356">
        <f t="shared" si="29"/>
        <v>0</v>
      </c>
      <c r="BA70" s="356">
        <f t="shared" si="29"/>
        <v>0</v>
      </c>
      <c r="BB70" s="356">
        <f t="shared" si="29"/>
        <v>0</v>
      </c>
      <c r="BC70" s="344">
        <v>58</v>
      </c>
    </row>
    <row r="71" spans="1:55" x14ac:dyDescent="0.25">
      <c r="A71" s="1895"/>
      <c r="B71" s="1895"/>
      <c r="C71" s="2028"/>
      <c r="D71" s="1897"/>
      <c r="E71" s="1897"/>
      <c r="F71" s="1897"/>
      <c r="G71" s="358" t="str">
        <f t="shared" si="16"/>
        <v xml:space="preserve"> </v>
      </c>
      <c r="H71" s="1031">
        <f t="shared" si="17"/>
        <v>0</v>
      </c>
      <c r="I71" s="356" t="e">
        <f t="shared" si="30"/>
        <v>#DIV/0!</v>
      </c>
      <c r="J71" s="5" t="e">
        <f t="shared" si="18"/>
        <v>#DIV/0!</v>
      </c>
      <c r="K71" s="35" t="e">
        <f t="shared" si="31"/>
        <v>#DIV/0!</v>
      </c>
      <c r="L71" s="1032">
        <f t="shared" si="32"/>
        <v>0</v>
      </c>
      <c r="O71" s="356" t="e">
        <f t="shared" si="34"/>
        <v>#DIV/0!</v>
      </c>
      <c r="P71" s="356">
        <f t="shared" si="34"/>
        <v>0</v>
      </c>
      <c r="Q71" s="356">
        <f t="shared" si="34"/>
        <v>0</v>
      </c>
      <c r="R71" s="356">
        <f t="shared" si="34"/>
        <v>0</v>
      </c>
      <c r="S71" s="356">
        <f t="shared" si="34"/>
        <v>0</v>
      </c>
      <c r="T71" s="356">
        <f t="shared" si="34"/>
        <v>0</v>
      </c>
      <c r="U71" s="356">
        <f t="shared" si="34"/>
        <v>0</v>
      </c>
      <c r="V71" s="356">
        <f t="shared" si="34"/>
        <v>0</v>
      </c>
      <c r="W71" s="356">
        <f t="shared" si="34"/>
        <v>0</v>
      </c>
      <c r="X71" s="356">
        <f t="shared" si="34"/>
        <v>0</v>
      </c>
      <c r="Y71" s="356">
        <f t="shared" si="34"/>
        <v>0</v>
      </c>
      <c r="Z71" s="356">
        <f t="shared" si="34"/>
        <v>0</v>
      </c>
      <c r="AA71" s="356">
        <f t="shared" si="34"/>
        <v>0</v>
      </c>
      <c r="AB71" s="356">
        <f t="shared" si="34"/>
        <v>0</v>
      </c>
      <c r="AC71" s="356">
        <f t="shared" si="34"/>
        <v>0</v>
      </c>
      <c r="AD71" s="356">
        <f t="shared" si="34"/>
        <v>0</v>
      </c>
      <c r="AE71" s="356">
        <f t="shared" si="33"/>
        <v>0</v>
      </c>
      <c r="AF71" s="356">
        <f t="shared" si="33"/>
        <v>0</v>
      </c>
      <c r="AG71" s="356">
        <f t="shared" si="33"/>
        <v>0</v>
      </c>
      <c r="AH71" s="356">
        <f t="shared" si="33"/>
        <v>0</v>
      </c>
      <c r="AI71" s="356">
        <f t="shared" si="33"/>
        <v>0</v>
      </c>
      <c r="AJ71" s="356">
        <f t="shared" si="33"/>
        <v>0</v>
      </c>
      <c r="AK71" s="356">
        <f t="shared" si="33"/>
        <v>0</v>
      </c>
      <c r="AL71" s="356">
        <f t="shared" si="33"/>
        <v>0</v>
      </c>
      <c r="AM71" s="356">
        <f t="shared" si="33"/>
        <v>0</v>
      </c>
      <c r="AN71" s="356">
        <f t="shared" si="33"/>
        <v>0</v>
      </c>
      <c r="AO71" s="356">
        <f t="shared" si="33"/>
        <v>0</v>
      </c>
      <c r="AP71" s="356">
        <f t="shared" si="33"/>
        <v>0</v>
      </c>
      <c r="AQ71" s="356">
        <f t="shared" si="33"/>
        <v>0</v>
      </c>
      <c r="AR71" s="356">
        <f t="shared" si="33"/>
        <v>0</v>
      </c>
      <c r="AS71" s="356">
        <f t="shared" si="33"/>
        <v>0</v>
      </c>
      <c r="AT71" s="356">
        <f t="shared" si="29"/>
        <v>0</v>
      </c>
      <c r="AU71" s="356">
        <f t="shared" si="29"/>
        <v>0</v>
      </c>
      <c r="AV71" s="356">
        <f t="shared" si="29"/>
        <v>0</v>
      </c>
      <c r="AW71" s="356">
        <f t="shared" si="29"/>
        <v>0</v>
      </c>
      <c r="AX71" s="356">
        <f t="shared" si="29"/>
        <v>0</v>
      </c>
      <c r="AY71" s="356">
        <f t="shared" si="29"/>
        <v>0</v>
      </c>
      <c r="AZ71" s="356">
        <f t="shared" si="29"/>
        <v>0</v>
      </c>
      <c r="BA71" s="356">
        <f t="shared" si="29"/>
        <v>0</v>
      </c>
      <c r="BB71" s="356">
        <f t="shared" si="29"/>
        <v>0</v>
      </c>
      <c r="BC71" s="344">
        <v>59</v>
      </c>
    </row>
    <row r="72" spans="1:55" x14ac:dyDescent="0.25">
      <c r="A72" s="1895"/>
      <c r="B72" s="1895"/>
      <c r="C72" s="2028"/>
      <c r="D72" s="1897"/>
      <c r="E72" s="1897"/>
      <c r="F72" s="1897"/>
      <c r="G72" s="358" t="str">
        <f t="shared" si="16"/>
        <v xml:space="preserve"> </v>
      </c>
      <c r="H72" s="1031">
        <f t="shared" si="17"/>
        <v>0</v>
      </c>
      <c r="I72" s="356" t="e">
        <f t="shared" si="30"/>
        <v>#DIV/0!</v>
      </c>
      <c r="J72" s="5" t="e">
        <f t="shared" si="18"/>
        <v>#DIV/0!</v>
      </c>
      <c r="K72" s="35" t="e">
        <f t="shared" si="31"/>
        <v>#DIV/0!</v>
      </c>
      <c r="L72" s="1032">
        <f t="shared" si="32"/>
        <v>0</v>
      </c>
      <c r="O72" s="356" t="e">
        <f t="shared" si="34"/>
        <v>#DIV/0!</v>
      </c>
      <c r="P72" s="356">
        <f t="shared" si="34"/>
        <v>0</v>
      </c>
      <c r="Q72" s="356">
        <f t="shared" si="34"/>
        <v>0</v>
      </c>
      <c r="R72" s="356">
        <f t="shared" si="34"/>
        <v>0</v>
      </c>
      <c r="S72" s="356">
        <f t="shared" si="34"/>
        <v>0</v>
      </c>
      <c r="T72" s="356">
        <f t="shared" si="34"/>
        <v>0</v>
      </c>
      <c r="U72" s="356">
        <f t="shared" si="34"/>
        <v>0</v>
      </c>
      <c r="V72" s="356">
        <f t="shared" si="34"/>
        <v>0</v>
      </c>
      <c r="W72" s="356">
        <f t="shared" si="34"/>
        <v>0</v>
      </c>
      <c r="X72" s="356">
        <f t="shared" si="34"/>
        <v>0</v>
      </c>
      <c r="Y72" s="356">
        <f t="shared" si="34"/>
        <v>0</v>
      </c>
      <c r="Z72" s="356">
        <f t="shared" si="34"/>
        <v>0</v>
      </c>
      <c r="AA72" s="356">
        <f t="shared" si="34"/>
        <v>0</v>
      </c>
      <c r="AB72" s="356">
        <f t="shared" si="34"/>
        <v>0</v>
      </c>
      <c r="AC72" s="356">
        <f t="shared" si="34"/>
        <v>0</v>
      </c>
      <c r="AD72" s="356">
        <f t="shared" si="34"/>
        <v>0</v>
      </c>
      <c r="AE72" s="356">
        <f t="shared" si="33"/>
        <v>0</v>
      </c>
      <c r="AF72" s="356">
        <f t="shared" si="33"/>
        <v>0</v>
      </c>
      <c r="AG72" s="356">
        <f t="shared" si="33"/>
        <v>0</v>
      </c>
      <c r="AH72" s="356">
        <f t="shared" si="33"/>
        <v>0</v>
      </c>
      <c r="AI72" s="356">
        <f t="shared" si="33"/>
        <v>0</v>
      </c>
      <c r="AJ72" s="356">
        <f t="shared" si="33"/>
        <v>0</v>
      </c>
      <c r="AK72" s="356">
        <f t="shared" si="33"/>
        <v>0</v>
      </c>
      <c r="AL72" s="356">
        <f t="shared" si="33"/>
        <v>0</v>
      </c>
      <c r="AM72" s="356">
        <f t="shared" si="33"/>
        <v>0</v>
      </c>
      <c r="AN72" s="356">
        <f t="shared" si="33"/>
        <v>0</v>
      </c>
      <c r="AO72" s="356">
        <f t="shared" si="33"/>
        <v>0</v>
      </c>
      <c r="AP72" s="356">
        <f t="shared" si="33"/>
        <v>0</v>
      </c>
      <c r="AQ72" s="356">
        <f t="shared" si="33"/>
        <v>0</v>
      </c>
      <c r="AR72" s="356">
        <f t="shared" si="33"/>
        <v>0</v>
      </c>
      <c r="AS72" s="356">
        <f t="shared" si="33"/>
        <v>0</v>
      </c>
      <c r="AT72" s="356">
        <f t="shared" si="29"/>
        <v>0</v>
      </c>
      <c r="AU72" s="356">
        <f t="shared" si="29"/>
        <v>0</v>
      </c>
      <c r="AV72" s="356">
        <f t="shared" si="29"/>
        <v>0</v>
      </c>
      <c r="AW72" s="356">
        <f t="shared" si="29"/>
        <v>0</v>
      </c>
      <c r="AX72" s="356">
        <f t="shared" si="29"/>
        <v>0</v>
      </c>
      <c r="AY72" s="356">
        <f t="shared" si="29"/>
        <v>0</v>
      </c>
      <c r="AZ72" s="356">
        <f t="shared" si="29"/>
        <v>0</v>
      </c>
      <c r="BA72" s="356">
        <f t="shared" si="29"/>
        <v>0</v>
      </c>
      <c r="BB72" s="356">
        <f t="shared" si="29"/>
        <v>0</v>
      </c>
      <c r="BC72" s="344">
        <v>60</v>
      </c>
    </row>
    <row r="73" spans="1:55" x14ac:dyDescent="0.25">
      <c r="A73" s="1895"/>
      <c r="B73" s="1895"/>
      <c r="C73" s="2028"/>
      <c r="D73" s="1897"/>
      <c r="E73" s="1897"/>
      <c r="F73" s="1897"/>
      <c r="G73" s="358" t="str">
        <f t="shared" si="16"/>
        <v xml:space="preserve"> </v>
      </c>
      <c r="H73" s="1031">
        <f t="shared" si="17"/>
        <v>0</v>
      </c>
      <c r="I73" s="356" t="e">
        <f t="shared" si="30"/>
        <v>#DIV/0!</v>
      </c>
      <c r="J73" s="5" t="e">
        <f t="shared" si="18"/>
        <v>#DIV/0!</v>
      </c>
      <c r="K73" s="35" t="e">
        <f t="shared" si="31"/>
        <v>#DIV/0!</v>
      </c>
      <c r="L73" s="1032">
        <f t="shared" si="32"/>
        <v>0</v>
      </c>
      <c r="O73" s="356" t="e">
        <f t="shared" si="34"/>
        <v>#DIV/0!</v>
      </c>
      <c r="P73" s="356">
        <f t="shared" si="34"/>
        <v>0</v>
      </c>
      <c r="Q73" s="356">
        <f t="shared" si="34"/>
        <v>0</v>
      </c>
      <c r="R73" s="356">
        <f t="shared" si="34"/>
        <v>0</v>
      </c>
      <c r="S73" s="356">
        <f t="shared" si="34"/>
        <v>0</v>
      </c>
      <c r="T73" s="356">
        <f t="shared" si="34"/>
        <v>0</v>
      </c>
      <c r="U73" s="356">
        <f t="shared" si="34"/>
        <v>0</v>
      </c>
      <c r="V73" s="356">
        <f t="shared" si="34"/>
        <v>0</v>
      </c>
      <c r="W73" s="356">
        <f t="shared" si="34"/>
        <v>0</v>
      </c>
      <c r="X73" s="356">
        <f t="shared" si="34"/>
        <v>0</v>
      </c>
      <c r="Y73" s="356">
        <f t="shared" si="34"/>
        <v>0</v>
      </c>
      <c r="Z73" s="356">
        <f t="shared" si="34"/>
        <v>0</v>
      </c>
      <c r="AA73" s="356">
        <f t="shared" si="34"/>
        <v>0</v>
      </c>
      <c r="AB73" s="356">
        <f t="shared" si="34"/>
        <v>0</v>
      </c>
      <c r="AC73" s="356">
        <f t="shared" si="34"/>
        <v>0</v>
      </c>
      <c r="AD73" s="356">
        <f t="shared" si="34"/>
        <v>0</v>
      </c>
      <c r="AE73" s="356">
        <f t="shared" si="33"/>
        <v>0</v>
      </c>
      <c r="AF73" s="356">
        <f t="shared" si="33"/>
        <v>0</v>
      </c>
      <c r="AG73" s="356">
        <f t="shared" si="33"/>
        <v>0</v>
      </c>
      <c r="AH73" s="356">
        <f t="shared" si="33"/>
        <v>0</v>
      </c>
      <c r="AI73" s="356">
        <f t="shared" si="33"/>
        <v>0</v>
      </c>
      <c r="AJ73" s="356">
        <f t="shared" si="33"/>
        <v>0</v>
      </c>
      <c r="AK73" s="356">
        <f t="shared" si="33"/>
        <v>0</v>
      </c>
      <c r="AL73" s="356">
        <f t="shared" si="33"/>
        <v>0</v>
      </c>
      <c r="AM73" s="356">
        <f t="shared" si="33"/>
        <v>0</v>
      </c>
      <c r="AN73" s="356">
        <f t="shared" si="33"/>
        <v>0</v>
      </c>
      <c r="AO73" s="356">
        <f t="shared" si="33"/>
        <v>0</v>
      </c>
      <c r="AP73" s="356">
        <f t="shared" si="33"/>
        <v>0</v>
      </c>
      <c r="AQ73" s="356">
        <f t="shared" si="33"/>
        <v>0</v>
      </c>
      <c r="AR73" s="356">
        <f t="shared" si="33"/>
        <v>0</v>
      </c>
      <c r="AS73" s="356">
        <f t="shared" si="33"/>
        <v>0</v>
      </c>
      <c r="AT73" s="356">
        <f t="shared" si="29"/>
        <v>0</v>
      </c>
      <c r="AU73" s="356">
        <f t="shared" si="29"/>
        <v>0</v>
      </c>
      <c r="AV73" s="356">
        <f t="shared" si="29"/>
        <v>0</v>
      </c>
      <c r="AW73" s="356">
        <f t="shared" si="29"/>
        <v>0</v>
      </c>
      <c r="AX73" s="356">
        <f t="shared" si="29"/>
        <v>0</v>
      </c>
      <c r="AY73" s="356">
        <f t="shared" si="29"/>
        <v>0</v>
      </c>
      <c r="AZ73" s="356">
        <f t="shared" si="29"/>
        <v>0</v>
      </c>
      <c r="BA73" s="356">
        <f t="shared" si="29"/>
        <v>0</v>
      </c>
      <c r="BB73" s="356">
        <f t="shared" si="29"/>
        <v>0</v>
      </c>
      <c r="BC73" s="344">
        <v>61</v>
      </c>
    </row>
    <row r="74" spans="1:55" x14ac:dyDescent="0.25">
      <c r="A74" s="1895"/>
      <c r="B74" s="1895"/>
      <c r="C74" s="2028"/>
      <c r="D74" s="1897"/>
      <c r="E74" s="1897"/>
      <c r="F74" s="1897"/>
      <c r="G74" s="358" t="str">
        <f t="shared" si="16"/>
        <v xml:space="preserve"> </v>
      </c>
      <c r="H74" s="1031">
        <f t="shared" si="17"/>
        <v>0</v>
      </c>
      <c r="I74" s="356" t="e">
        <f t="shared" si="30"/>
        <v>#DIV/0!</v>
      </c>
      <c r="J74" s="5" t="e">
        <f t="shared" si="18"/>
        <v>#DIV/0!</v>
      </c>
      <c r="K74" s="35" t="e">
        <f t="shared" si="31"/>
        <v>#DIV/0!</v>
      </c>
      <c r="L74" s="1032">
        <f t="shared" si="32"/>
        <v>0</v>
      </c>
      <c r="O74" s="356" t="e">
        <f t="shared" si="34"/>
        <v>#DIV/0!</v>
      </c>
      <c r="P74" s="356">
        <f t="shared" si="34"/>
        <v>0</v>
      </c>
      <c r="Q74" s="356">
        <f t="shared" si="34"/>
        <v>0</v>
      </c>
      <c r="R74" s="356">
        <f t="shared" si="34"/>
        <v>0</v>
      </c>
      <c r="S74" s="356">
        <f t="shared" si="34"/>
        <v>0</v>
      </c>
      <c r="T74" s="356">
        <f t="shared" si="34"/>
        <v>0</v>
      </c>
      <c r="U74" s="356">
        <f t="shared" si="34"/>
        <v>0</v>
      </c>
      <c r="V74" s="356">
        <f t="shared" si="34"/>
        <v>0</v>
      </c>
      <c r="W74" s="356">
        <f t="shared" si="34"/>
        <v>0</v>
      </c>
      <c r="X74" s="356">
        <f t="shared" si="34"/>
        <v>0</v>
      </c>
      <c r="Y74" s="356">
        <f t="shared" si="34"/>
        <v>0</v>
      </c>
      <c r="Z74" s="356">
        <f t="shared" si="34"/>
        <v>0</v>
      </c>
      <c r="AA74" s="356">
        <f t="shared" si="34"/>
        <v>0</v>
      </c>
      <c r="AB74" s="356">
        <f t="shared" si="34"/>
        <v>0</v>
      </c>
      <c r="AC74" s="356">
        <f t="shared" si="34"/>
        <v>0</v>
      </c>
      <c r="AD74" s="356">
        <f t="shared" si="34"/>
        <v>0</v>
      </c>
      <c r="AE74" s="356">
        <f t="shared" si="33"/>
        <v>0</v>
      </c>
      <c r="AF74" s="356">
        <f t="shared" si="33"/>
        <v>0</v>
      </c>
      <c r="AG74" s="356">
        <f t="shared" si="33"/>
        <v>0</v>
      </c>
      <c r="AH74" s="356">
        <f t="shared" si="33"/>
        <v>0</v>
      </c>
      <c r="AI74" s="356">
        <f t="shared" si="33"/>
        <v>0</v>
      </c>
      <c r="AJ74" s="356">
        <f t="shared" si="33"/>
        <v>0</v>
      </c>
      <c r="AK74" s="356">
        <f t="shared" si="33"/>
        <v>0</v>
      </c>
      <c r="AL74" s="356">
        <f t="shared" si="33"/>
        <v>0</v>
      </c>
      <c r="AM74" s="356">
        <f t="shared" si="33"/>
        <v>0</v>
      </c>
      <c r="AN74" s="356">
        <f t="shared" si="33"/>
        <v>0</v>
      </c>
      <c r="AO74" s="356">
        <f t="shared" si="33"/>
        <v>0</v>
      </c>
      <c r="AP74" s="356">
        <f t="shared" si="33"/>
        <v>0</v>
      </c>
      <c r="AQ74" s="356">
        <f t="shared" si="33"/>
        <v>0</v>
      </c>
      <c r="AR74" s="356">
        <f t="shared" si="33"/>
        <v>0</v>
      </c>
      <c r="AS74" s="356">
        <f t="shared" si="33"/>
        <v>0</v>
      </c>
      <c r="AT74" s="356">
        <f t="shared" si="29"/>
        <v>0</v>
      </c>
      <c r="AU74" s="356">
        <f t="shared" si="29"/>
        <v>0</v>
      </c>
      <c r="AV74" s="356">
        <f t="shared" si="29"/>
        <v>0</v>
      </c>
      <c r="AW74" s="356">
        <f t="shared" si="29"/>
        <v>0</v>
      </c>
      <c r="AX74" s="356">
        <f t="shared" si="29"/>
        <v>0</v>
      </c>
      <c r="AY74" s="356">
        <f t="shared" si="29"/>
        <v>0</v>
      </c>
      <c r="AZ74" s="356">
        <f t="shared" si="29"/>
        <v>0</v>
      </c>
      <c r="BA74" s="356">
        <f t="shared" si="29"/>
        <v>0</v>
      </c>
      <c r="BB74" s="356">
        <f t="shared" si="29"/>
        <v>0</v>
      </c>
      <c r="BC74" s="344">
        <v>62</v>
      </c>
    </row>
    <row r="75" spans="1:55" x14ac:dyDescent="0.25">
      <c r="A75" s="1895"/>
      <c r="B75" s="1895"/>
      <c r="C75" s="2028"/>
      <c r="D75" s="1897"/>
      <c r="E75" s="1897"/>
      <c r="F75" s="1897"/>
      <c r="G75" s="358" t="str">
        <f t="shared" si="16"/>
        <v xml:space="preserve"> </v>
      </c>
      <c r="H75" s="1031">
        <f t="shared" si="17"/>
        <v>0</v>
      </c>
      <c r="I75" s="356" t="e">
        <f t="shared" si="30"/>
        <v>#DIV/0!</v>
      </c>
      <c r="J75" s="5" t="e">
        <f t="shared" si="18"/>
        <v>#DIV/0!</v>
      </c>
      <c r="K75" s="35" t="e">
        <f t="shared" si="31"/>
        <v>#DIV/0!</v>
      </c>
      <c r="L75" s="1032">
        <f t="shared" si="32"/>
        <v>0</v>
      </c>
      <c r="O75" s="356" t="e">
        <f t="shared" si="34"/>
        <v>#DIV/0!</v>
      </c>
      <c r="P75" s="356">
        <f t="shared" si="34"/>
        <v>0</v>
      </c>
      <c r="Q75" s="356">
        <f t="shared" si="34"/>
        <v>0</v>
      </c>
      <c r="R75" s="356">
        <f t="shared" si="34"/>
        <v>0</v>
      </c>
      <c r="S75" s="356">
        <f t="shared" si="34"/>
        <v>0</v>
      </c>
      <c r="T75" s="356">
        <f t="shared" si="34"/>
        <v>0</v>
      </c>
      <c r="U75" s="356">
        <f t="shared" si="34"/>
        <v>0</v>
      </c>
      <c r="V75" s="356">
        <f t="shared" si="34"/>
        <v>0</v>
      </c>
      <c r="W75" s="356">
        <f t="shared" si="34"/>
        <v>0</v>
      </c>
      <c r="X75" s="356">
        <f t="shared" si="34"/>
        <v>0</v>
      </c>
      <c r="Y75" s="356">
        <f t="shared" si="34"/>
        <v>0</v>
      </c>
      <c r="Z75" s="356">
        <f t="shared" si="34"/>
        <v>0</v>
      </c>
      <c r="AA75" s="356">
        <f t="shared" si="34"/>
        <v>0</v>
      </c>
      <c r="AB75" s="356">
        <f t="shared" si="34"/>
        <v>0</v>
      </c>
      <c r="AC75" s="356">
        <f t="shared" si="34"/>
        <v>0</v>
      </c>
      <c r="AD75" s="356">
        <f t="shared" si="34"/>
        <v>0</v>
      </c>
      <c r="AE75" s="356">
        <f t="shared" si="33"/>
        <v>0</v>
      </c>
      <c r="AF75" s="356">
        <f t="shared" si="33"/>
        <v>0</v>
      </c>
      <c r="AG75" s="356">
        <f t="shared" si="33"/>
        <v>0</v>
      </c>
      <c r="AH75" s="356">
        <f t="shared" si="33"/>
        <v>0</v>
      </c>
      <c r="AI75" s="356">
        <f t="shared" si="33"/>
        <v>0</v>
      </c>
      <c r="AJ75" s="356">
        <f t="shared" si="33"/>
        <v>0</v>
      </c>
      <c r="AK75" s="356">
        <f t="shared" si="33"/>
        <v>0</v>
      </c>
      <c r="AL75" s="356">
        <f t="shared" si="33"/>
        <v>0</v>
      </c>
      <c r="AM75" s="356">
        <f t="shared" si="33"/>
        <v>0</v>
      </c>
      <c r="AN75" s="356">
        <f t="shared" si="33"/>
        <v>0</v>
      </c>
      <c r="AO75" s="356">
        <f t="shared" si="33"/>
        <v>0</v>
      </c>
      <c r="AP75" s="356">
        <f t="shared" si="33"/>
        <v>0</v>
      </c>
      <c r="AQ75" s="356">
        <f t="shared" si="33"/>
        <v>0</v>
      </c>
      <c r="AR75" s="356">
        <f t="shared" si="33"/>
        <v>0</v>
      </c>
      <c r="AS75" s="356">
        <f t="shared" si="33"/>
        <v>0</v>
      </c>
      <c r="AT75" s="356">
        <f t="shared" si="29"/>
        <v>0</v>
      </c>
      <c r="AU75" s="356">
        <f t="shared" si="29"/>
        <v>0</v>
      </c>
      <c r="AV75" s="356">
        <f t="shared" si="29"/>
        <v>0</v>
      </c>
      <c r="AW75" s="356">
        <f t="shared" si="29"/>
        <v>0</v>
      </c>
      <c r="AX75" s="356">
        <f t="shared" si="29"/>
        <v>0</v>
      </c>
      <c r="AY75" s="356">
        <f t="shared" si="29"/>
        <v>0</v>
      </c>
      <c r="AZ75" s="356">
        <f t="shared" si="29"/>
        <v>0</v>
      </c>
      <c r="BA75" s="356">
        <f t="shared" si="29"/>
        <v>0</v>
      </c>
      <c r="BB75" s="356">
        <f t="shared" si="29"/>
        <v>0</v>
      </c>
      <c r="BC75" s="344">
        <v>63</v>
      </c>
    </row>
    <row r="76" spans="1:55" x14ac:dyDescent="0.25">
      <c r="A76" s="1895"/>
      <c r="B76" s="1895"/>
      <c r="C76" s="2028"/>
      <c r="D76" s="1897"/>
      <c r="E76" s="1897"/>
      <c r="F76" s="1897"/>
      <c r="G76" s="358" t="str">
        <f t="shared" si="16"/>
        <v xml:space="preserve"> </v>
      </c>
      <c r="H76" s="1031">
        <f t="shared" si="17"/>
        <v>0</v>
      </c>
      <c r="I76" s="356" t="e">
        <f t="shared" si="30"/>
        <v>#DIV/0!</v>
      </c>
      <c r="J76" s="5" t="e">
        <f t="shared" si="18"/>
        <v>#DIV/0!</v>
      </c>
      <c r="K76" s="35" t="e">
        <f t="shared" si="31"/>
        <v>#DIV/0!</v>
      </c>
      <c r="L76" s="1032">
        <f t="shared" si="32"/>
        <v>0</v>
      </c>
      <c r="O76" s="356" t="e">
        <f t="shared" si="34"/>
        <v>#DIV/0!</v>
      </c>
      <c r="P76" s="356">
        <f t="shared" si="34"/>
        <v>0</v>
      </c>
      <c r="Q76" s="356">
        <f t="shared" si="34"/>
        <v>0</v>
      </c>
      <c r="R76" s="356">
        <f t="shared" si="34"/>
        <v>0</v>
      </c>
      <c r="S76" s="356">
        <f t="shared" si="34"/>
        <v>0</v>
      </c>
      <c r="T76" s="356">
        <f t="shared" si="34"/>
        <v>0</v>
      </c>
      <c r="U76" s="356">
        <f t="shared" si="34"/>
        <v>0</v>
      </c>
      <c r="V76" s="356">
        <f t="shared" si="34"/>
        <v>0</v>
      </c>
      <c r="W76" s="356">
        <f t="shared" si="34"/>
        <v>0</v>
      </c>
      <c r="X76" s="356">
        <f t="shared" si="34"/>
        <v>0</v>
      </c>
      <c r="Y76" s="356">
        <f t="shared" si="34"/>
        <v>0</v>
      </c>
      <c r="Z76" s="356">
        <f t="shared" si="34"/>
        <v>0</v>
      </c>
      <c r="AA76" s="356">
        <f t="shared" si="34"/>
        <v>0</v>
      </c>
      <c r="AB76" s="356">
        <f t="shared" si="34"/>
        <v>0</v>
      </c>
      <c r="AC76" s="356">
        <f t="shared" si="34"/>
        <v>0</v>
      </c>
      <c r="AD76" s="356">
        <f t="shared" si="34"/>
        <v>0</v>
      </c>
      <c r="AE76" s="356">
        <f t="shared" si="33"/>
        <v>0</v>
      </c>
      <c r="AF76" s="356">
        <f t="shared" si="33"/>
        <v>0</v>
      </c>
      <c r="AG76" s="356">
        <f t="shared" si="33"/>
        <v>0</v>
      </c>
      <c r="AH76" s="356">
        <f t="shared" si="33"/>
        <v>0</v>
      </c>
      <c r="AI76" s="356">
        <f t="shared" si="33"/>
        <v>0</v>
      </c>
      <c r="AJ76" s="356">
        <f t="shared" si="33"/>
        <v>0</v>
      </c>
      <c r="AK76" s="356">
        <f t="shared" si="33"/>
        <v>0</v>
      </c>
      <c r="AL76" s="356">
        <f t="shared" si="33"/>
        <v>0</v>
      </c>
      <c r="AM76" s="356">
        <f t="shared" si="33"/>
        <v>0</v>
      </c>
      <c r="AN76" s="356">
        <f t="shared" si="33"/>
        <v>0</v>
      </c>
      <c r="AO76" s="356">
        <f t="shared" si="33"/>
        <v>0</v>
      </c>
      <c r="AP76" s="356">
        <f t="shared" si="33"/>
        <v>0</v>
      </c>
      <c r="AQ76" s="356">
        <f t="shared" si="33"/>
        <v>0</v>
      </c>
      <c r="AR76" s="356">
        <f t="shared" si="33"/>
        <v>0</v>
      </c>
      <c r="AS76" s="356">
        <f t="shared" si="33"/>
        <v>0</v>
      </c>
      <c r="AT76" s="356">
        <f t="shared" si="29"/>
        <v>0</v>
      </c>
      <c r="AU76" s="356">
        <f t="shared" si="29"/>
        <v>0</v>
      </c>
      <c r="AV76" s="356">
        <f t="shared" si="29"/>
        <v>0</v>
      </c>
      <c r="AW76" s="356">
        <f t="shared" si="29"/>
        <v>0</v>
      </c>
      <c r="AX76" s="356">
        <f t="shared" si="29"/>
        <v>0</v>
      </c>
      <c r="AY76" s="356">
        <f t="shared" si="29"/>
        <v>0</v>
      </c>
      <c r="AZ76" s="356">
        <f t="shared" si="29"/>
        <v>0</v>
      </c>
      <c r="BA76" s="356">
        <f t="shared" si="29"/>
        <v>0</v>
      </c>
      <c r="BB76" s="356">
        <f t="shared" si="29"/>
        <v>0</v>
      </c>
      <c r="BC76" s="344">
        <v>64</v>
      </c>
    </row>
    <row r="77" spans="1:55" x14ac:dyDescent="0.25">
      <c r="A77" s="1895"/>
      <c r="B77" s="1895"/>
      <c r="C77" s="2028"/>
      <c r="D77" s="1897"/>
      <c r="E77" s="1897"/>
      <c r="F77" s="1897"/>
      <c r="G77" s="358" t="str">
        <f t="shared" si="16"/>
        <v xml:space="preserve"> </v>
      </c>
      <c r="H77" s="1031">
        <f t="shared" si="17"/>
        <v>0</v>
      </c>
      <c r="I77" s="356" t="e">
        <f t="shared" si="30"/>
        <v>#DIV/0!</v>
      </c>
      <c r="J77" s="5" t="e">
        <f t="shared" si="18"/>
        <v>#DIV/0!</v>
      </c>
      <c r="K77" s="35" t="e">
        <f t="shared" si="31"/>
        <v>#DIV/0!</v>
      </c>
      <c r="L77" s="1032">
        <f t="shared" si="32"/>
        <v>0</v>
      </c>
      <c r="O77" s="356" t="e">
        <f t="shared" si="34"/>
        <v>#DIV/0!</v>
      </c>
      <c r="P77" s="356">
        <f t="shared" si="34"/>
        <v>0</v>
      </c>
      <c r="Q77" s="356">
        <f t="shared" si="34"/>
        <v>0</v>
      </c>
      <c r="R77" s="356">
        <f t="shared" si="34"/>
        <v>0</v>
      </c>
      <c r="S77" s="356">
        <f t="shared" si="34"/>
        <v>0</v>
      </c>
      <c r="T77" s="356">
        <f t="shared" si="34"/>
        <v>0</v>
      </c>
      <c r="U77" s="356">
        <f t="shared" si="34"/>
        <v>0</v>
      </c>
      <c r="V77" s="356">
        <f t="shared" si="34"/>
        <v>0</v>
      </c>
      <c r="W77" s="356">
        <f t="shared" si="34"/>
        <v>0</v>
      </c>
      <c r="X77" s="356">
        <f t="shared" si="34"/>
        <v>0</v>
      </c>
      <c r="Y77" s="356">
        <f t="shared" si="34"/>
        <v>0</v>
      </c>
      <c r="Z77" s="356">
        <f t="shared" si="34"/>
        <v>0</v>
      </c>
      <c r="AA77" s="356">
        <f t="shared" si="34"/>
        <v>0</v>
      </c>
      <c r="AB77" s="356">
        <f t="shared" si="34"/>
        <v>0</v>
      </c>
      <c r="AC77" s="356">
        <f t="shared" si="34"/>
        <v>0</v>
      </c>
      <c r="AD77" s="356">
        <f t="shared" si="34"/>
        <v>0</v>
      </c>
      <c r="AE77" s="356">
        <f t="shared" si="33"/>
        <v>0</v>
      </c>
      <c r="AF77" s="356">
        <f t="shared" si="33"/>
        <v>0</v>
      </c>
      <c r="AG77" s="356">
        <f t="shared" si="33"/>
        <v>0</v>
      </c>
      <c r="AH77" s="356">
        <f t="shared" si="33"/>
        <v>0</v>
      </c>
      <c r="AI77" s="356">
        <f t="shared" si="33"/>
        <v>0</v>
      </c>
      <c r="AJ77" s="356">
        <f t="shared" si="33"/>
        <v>0</v>
      </c>
      <c r="AK77" s="356">
        <f t="shared" si="33"/>
        <v>0</v>
      </c>
      <c r="AL77" s="356">
        <f t="shared" si="33"/>
        <v>0</v>
      </c>
      <c r="AM77" s="356">
        <f t="shared" si="33"/>
        <v>0</v>
      </c>
      <c r="AN77" s="356">
        <f t="shared" si="33"/>
        <v>0</v>
      </c>
      <c r="AO77" s="356">
        <f t="shared" si="33"/>
        <v>0</v>
      </c>
      <c r="AP77" s="356">
        <f t="shared" si="33"/>
        <v>0</v>
      </c>
      <c r="AQ77" s="356">
        <f t="shared" si="33"/>
        <v>0</v>
      </c>
      <c r="AR77" s="356">
        <f t="shared" si="33"/>
        <v>0</v>
      </c>
      <c r="AS77" s="356">
        <f t="shared" si="33"/>
        <v>0</v>
      </c>
      <c r="AT77" s="356">
        <f t="shared" si="29"/>
        <v>0</v>
      </c>
      <c r="AU77" s="356">
        <f t="shared" si="29"/>
        <v>0</v>
      </c>
      <c r="AV77" s="356">
        <f t="shared" si="29"/>
        <v>0</v>
      </c>
      <c r="AW77" s="356">
        <f t="shared" si="29"/>
        <v>0</v>
      </c>
      <c r="AX77" s="356">
        <f t="shared" si="29"/>
        <v>0</v>
      </c>
      <c r="AY77" s="356">
        <f t="shared" si="29"/>
        <v>0</v>
      </c>
      <c r="AZ77" s="356">
        <f t="shared" si="29"/>
        <v>0</v>
      </c>
      <c r="BA77" s="356">
        <f t="shared" si="29"/>
        <v>0</v>
      </c>
      <c r="BB77" s="356">
        <f t="shared" si="29"/>
        <v>0</v>
      </c>
      <c r="BC77" s="344">
        <v>65</v>
      </c>
    </row>
    <row r="78" spans="1:55" x14ac:dyDescent="0.25">
      <c r="A78" s="1895"/>
      <c r="B78" s="1895"/>
      <c r="C78" s="2028"/>
      <c r="D78" s="1897"/>
      <c r="E78" s="1897"/>
      <c r="F78" s="1897"/>
      <c r="G78" s="358" t="str">
        <f t="shared" si="16"/>
        <v xml:space="preserve"> </v>
      </c>
      <c r="H78" s="1031">
        <f t="shared" si="17"/>
        <v>0</v>
      </c>
      <c r="I78" s="356" t="e">
        <f t="shared" si="30"/>
        <v>#DIV/0!</v>
      </c>
      <c r="J78" s="5" t="e">
        <f t="shared" si="18"/>
        <v>#DIV/0!</v>
      </c>
      <c r="K78" s="35" t="e">
        <f t="shared" si="31"/>
        <v>#DIV/0!</v>
      </c>
      <c r="L78" s="1032">
        <f t="shared" si="32"/>
        <v>0</v>
      </c>
      <c r="O78" s="356" t="e">
        <f t="shared" si="34"/>
        <v>#DIV/0!</v>
      </c>
      <c r="P78" s="356">
        <f t="shared" si="34"/>
        <v>0</v>
      </c>
      <c r="Q78" s="356">
        <f t="shared" si="34"/>
        <v>0</v>
      </c>
      <c r="R78" s="356">
        <f t="shared" si="34"/>
        <v>0</v>
      </c>
      <c r="S78" s="356">
        <f t="shared" si="34"/>
        <v>0</v>
      </c>
      <c r="T78" s="356">
        <f t="shared" si="34"/>
        <v>0</v>
      </c>
      <c r="U78" s="356">
        <f t="shared" si="34"/>
        <v>0</v>
      </c>
      <c r="V78" s="356">
        <f t="shared" si="34"/>
        <v>0</v>
      </c>
      <c r="W78" s="356">
        <f t="shared" si="34"/>
        <v>0</v>
      </c>
      <c r="X78" s="356">
        <f t="shared" si="34"/>
        <v>0</v>
      </c>
      <c r="Y78" s="356">
        <f t="shared" si="34"/>
        <v>0</v>
      </c>
      <c r="Z78" s="356">
        <f t="shared" si="34"/>
        <v>0</v>
      </c>
      <c r="AA78" s="356">
        <f t="shared" si="34"/>
        <v>0</v>
      </c>
      <c r="AB78" s="356">
        <f t="shared" si="34"/>
        <v>0</v>
      </c>
      <c r="AC78" s="356">
        <f t="shared" si="34"/>
        <v>0</v>
      </c>
      <c r="AD78" s="356">
        <f t="shared" si="34"/>
        <v>0</v>
      </c>
      <c r="AE78" s="356">
        <f t="shared" si="33"/>
        <v>0</v>
      </c>
      <c r="AF78" s="356">
        <f t="shared" si="33"/>
        <v>0</v>
      </c>
      <c r="AG78" s="356">
        <f t="shared" si="33"/>
        <v>0</v>
      </c>
      <c r="AH78" s="356">
        <f t="shared" si="33"/>
        <v>0</v>
      </c>
      <c r="AI78" s="356">
        <f t="shared" si="33"/>
        <v>0</v>
      </c>
      <c r="AJ78" s="356">
        <f t="shared" si="33"/>
        <v>0</v>
      </c>
      <c r="AK78" s="356">
        <f t="shared" si="33"/>
        <v>0</v>
      </c>
      <c r="AL78" s="356">
        <f t="shared" si="33"/>
        <v>0</v>
      </c>
      <c r="AM78" s="356">
        <f t="shared" si="33"/>
        <v>0</v>
      </c>
      <c r="AN78" s="356">
        <f t="shared" si="33"/>
        <v>0</v>
      </c>
      <c r="AO78" s="356">
        <f t="shared" si="33"/>
        <v>0</v>
      </c>
      <c r="AP78" s="356">
        <f t="shared" si="33"/>
        <v>0</v>
      </c>
      <c r="AQ78" s="356">
        <f t="shared" si="33"/>
        <v>0</v>
      </c>
      <c r="AR78" s="356">
        <f t="shared" si="33"/>
        <v>0</v>
      </c>
      <c r="AS78" s="356">
        <f t="shared" si="33"/>
        <v>0</v>
      </c>
      <c r="AT78" s="356">
        <f t="shared" si="29"/>
        <v>0</v>
      </c>
      <c r="AU78" s="356">
        <f t="shared" si="29"/>
        <v>0</v>
      </c>
      <c r="AV78" s="356">
        <f t="shared" si="29"/>
        <v>0</v>
      </c>
      <c r="AW78" s="356">
        <f t="shared" si="29"/>
        <v>0</v>
      </c>
      <c r="AX78" s="356">
        <f t="shared" si="29"/>
        <v>0</v>
      </c>
      <c r="AY78" s="356">
        <f t="shared" si="29"/>
        <v>0</v>
      </c>
      <c r="AZ78" s="356">
        <f t="shared" si="29"/>
        <v>0</v>
      </c>
      <c r="BA78" s="356">
        <f t="shared" si="29"/>
        <v>0</v>
      </c>
      <c r="BB78" s="356">
        <f t="shared" si="29"/>
        <v>0</v>
      </c>
      <c r="BC78" s="344">
        <v>66</v>
      </c>
    </row>
    <row r="79" spans="1:55" x14ac:dyDescent="0.25">
      <c r="A79" s="1895"/>
      <c r="B79" s="1895"/>
      <c r="C79" s="2028"/>
      <c r="D79" s="1897"/>
      <c r="E79" s="1897"/>
      <c r="F79" s="1897"/>
      <c r="G79" s="358" t="str">
        <f t="shared" si="16"/>
        <v xml:space="preserve"> </v>
      </c>
      <c r="H79" s="1031">
        <f t="shared" si="17"/>
        <v>0</v>
      </c>
      <c r="I79" s="356" t="e">
        <f t="shared" si="30"/>
        <v>#DIV/0!</v>
      </c>
      <c r="J79" s="5" t="e">
        <f t="shared" si="18"/>
        <v>#DIV/0!</v>
      </c>
      <c r="K79" s="35" t="e">
        <f t="shared" si="31"/>
        <v>#DIV/0!</v>
      </c>
      <c r="L79" s="1032">
        <f t="shared" si="32"/>
        <v>0</v>
      </c>
      <c r="O79" s="356" t="e">
        <f t="shared" si="34"/>
        <v>#DIV/0!</v>
      </c>
      <c r="P79" s="356">
        <f t="shared" si="34"/>
        <v>0</v>
      </c>
      <c r="Q79" s="356">
        <f t="shared" si="34"/>
        <v>0</v>
      </c>
      <c r="R79" s="356">
        <f t="shared" si="34"/>
        <v>0</v>
      </c>
      <c r="S79" s="356">
        <f t="shared" si="34"/>
        <v>0</v>
      </c>
      <c r="T79" s="356">
        <f t="shared" si="34"/>
        <v>0</v>
      </c>
      <c r="U79" s="356">
        <f t="shared" si="34"/>
        <v>0</v>
      </c>
      <c r="V79" s="356">
        <f t="shared" si="34"/>
        <v>0</v>
      </c>
      <c r="W79" s="356">
        <f t="shared" si="34"/>
        <v>0</v>
      </c>
      <c r="X79" s="356">
        <f t="shared" si="34"/>
        <v>0</v>
      </c>
      <c r="Y79" s="356">
        <f t="shared" si="34"/>
        <v>0</v>
      </c>
      <c r="Z79" s="356">
        <f t="shared" si="34"/>
        <v>0</v>
      </c>
      <c r="AA79" s="356">
        <f t="shared" si="34"/>
        <v>0</v>
      </c>
      <c r="AB79" s="356">
        <f t="shared" si="34"/>
        <v>0</v>
      </c>
      <c r="AC79" s="356">
        <f t="shared" si="34"/>
        <v>0</v>
      </c>
      <c r="AD79" s="356">
        <f t="shared" si="34"/>
        <v>0</v>
      </c>
      <c r="AE79" s="356">
        <f t="shared" si="33"/>
        <v>0</v>
      </c>
      <c r="AF79" s="356">
        <f t="shared" si="33"/>
        <v>0</v>
      </c>
      <c r="AG79" s="356">
        <f t="shared" si="33"/>
        <v>0</v>
      </c>
      <c r="AH79" s="356">
        <f t="shared" si="33"/>
        <v>0</v>
      </c>
      <c r="AI79" s="356">
        <f t="shared" si="33"/>
        <v>0</v>
      </c>
      <c r="AJ79" s="356">
        <f t="shared" si="33"/>
        <v>0</v>
      </c>
      <c r="AK79" s="356">
        <f t="shared" si="33"/>
        <v>0</v>
      </c>
      <c r="AL79" s="356">
        <f t="shared" si="33"/>
        <v>0</v>
      </c>
      <c r="AM79" s="356">
        <f t="shared" si="33"/>
        <v>0</v>
      </c>
      <c r="AN79" s="356">
        <f t="shared" si="33"/>
        <v>0</v>
      </c>
      <c r="AO79" s="356">
        <f t="shared" si="33"/>
        <v>0</v>
      </c>
      <c r="AP79" s="356">
        <f t="shared" si="33"/>
        <v>0</v>
      </c>
      <c r="AQ79" s="356">
        <f t="shared" si="33"/>
        <v>0</v>
      </c>
      <c r="AR79" s="356">
        <f t="shared" si="33"/>
        <v>0</v>
      </c>
      <c r="AS79" s="356">
        <f t="shared" si="33"/>
        <v>0</v>
      </c>
      <c r="AT79" s="356">
        <f t="shared" si="29"/>
        <v>0</v>
      </c>
      <c r="AU79" s="356">
        <f t="shared" si="29"/>
        <v>0</v>
      </c>
      <c r="AV79" s="356">
        <f t="shared" si="29"/>
        <v>0</v>
      </c>
      <c r="AW79" s="356">
        <f t="shared" si="29"/>
        <v>0</v>
      </c>
      <c r="AX79" s="356">
        <f t="shared" si="29"/>
        <v>0</v>
      </c>
      <c r="AY79" s="356">
        <f t="shared" si="29"/>
        <v>0</v>
      </c>
      <c r="AZ79" s="356">
        <f t="shared" si="29"/>
        <v>0</v>
      </c>
      <c r="BA79" s="356">
        <f t="shared" si="29"/>
        <v>0</v>
      </c>
      <c r="BB79" s="356">
        <f t="shared" si="29"/>
        <v>0</v>
      </c>
      <c r="BC79" s="344">
        <v>67</v>
      </c>
    </row>
    <row r="80" spans="1:55" x14ac:dyDescent="0.25">
      <c r="A80" s="1895"/>
      <c r="B80" s="1895"/>
      <c r="C80" s="2028"/>
      <c r="D80" s="1897"/>
      <c r="E80" s="1897"/>
      <c r="F80" s="1897"/>
      <c r="G80" s="358" t="str">
        <f t="shared" si="16"/>
        <v xml:space="preserve"> </v>
      </c>
      <c r="H80" s="1031">
        <f t="shared" si="17"/>
        <v>0</v>
      </c>
      <c r="I80" s="356" t="e">
        <f t="shared" si="30"/>
        <v>#DIV/0!</v>
      </c>
      <c r="J80" s="5" t="e">
        <f t="shared" si="18"/>
        <v>#DIV/0!</v>
      </c>
      <c r="K80" s="35" t="e">
        <f t="shared" si="31"/>
        <v>#DIV/0!</v>
      </c>
      <c r="L80" s="1032">
        <f t="shared" si="32"/>
        <v>0</v>
      </c>
      <c r="O80" s="356" t="e">
        <f t="shared" si="34"/>
        <v>#DIV/0!</v>
      </c>
      <c r="P80" s="356">
        <f t="shared" si="34"/>
        <v>0</v>
      </c>
      <c r="Q80" s="356">
        <f t="shared" si="34"/>
        <v>0</v>
      </c>
      <c r="R80" s="356">
        <f t="shared" si="34"/>
        <v>0</v>
      </c>
      <c r="S80" s="356">
        <f t="shared" si="34"/>
        <v>0</v>
      </c>
      <c r="T80" s="356">
        <f t="shared" si="34"/>
        <v>0</v>
      </c>
      <c r="U80" s="356">
        <f t="shared" si="34"/>
        <v>0</v>
      </c>
      <c r="V80" s="356">
        <f t="shared" si="34"/>
        <v>0</v>
      </c>
      <c r="W80" s="356">
        <f t="shared" si="34"/>
        <v>0</v>
      </c>
      <c r="X80" s="356">
        <f t="shared" si="34"/>
        <v>0</v>
      </c>
      <c r="Y80" s="356">
        <f t="shared" si="34"/>
        <v>0</v>
      </c>
      <c r="Z80" s="356">
        <f t="shared" si="34"/>
        <v>0</v>
      </c>
      <c r="AA80" s="356">
        <f t="shared" si="34"/>
        <v>0</v>
      </c>
      <c r="AB80" s="356">
        <f t="shared" si="34"/>
        <v>0</v>
      </c>
      <c r="AC80" s="356">
        <f t="shared" si="34"/>
        <v>0</v>
      </c>
      <c r="AD80" s="356">
        <f t="shared" si="34"/>
        <v>0</v>
      </c>
      <c r="AE80" s="356">
        <f t="shared" si="33"/>
        <v>0</v>
      </c>
      <c r="AF80" s="356">
        <f t="shared" si="33"/>
        <v>0</v>
      </c>
      <c r="AG80" s="356">
        <f t="shared" si="33"/>
        <v>0</v>
      </c>
      <c r="AH80" s="356">
        <f t="shared" si="33"/>
        <v>0</v>
      </c>
      <c r="AI80" s="356">
        <f t="shared" si="33"/>
        <v>0</v>
      </c>
      <c r="AJ80" s="356">
        <f t="shared" si="33"/>
        <v>0</v>
      </c>
      <c r="AK80" s="356">
        <f t="shared" si="33"/>
        <v>0</v>
      </c>
      <c r="AL80" s="356">
        <f t="shared" si="33"/>
        <v>0</v>
      </c>
      <c r="AM80" s="356">
        <f t="shared" si="33"/>
        <v>0</v>
      </c>
      <c r="AN80" s="356">
        <f t="shared" si="33"/>
        <v>0</v>
      </c>
      <c r="AO80" s="356">
        <f t="shared" si="33"/>
        <v>0</v>
      </c>
      <c r="AP80" s="356">
        <f t="shared" si="33"/>
        <v>0</v>
      </c>
      <c r="AQ80" s="356">
        <f t="shared" si="33"/>
        <v>0</v>
      </c>
      <c r="AR80" s="356">
        <f t="shared" si="33"/>
        <v>0</v>
      </c>
      <c r="AS80" s="356">
        <f t="shared" si="33"/>
        <v>0</v>
      </c>
      <c r="AT80" s="356">
        <f t="shared" si="29"/>
        <v>0</v>
      </c>
      <c r="AU80" s="356">
        <f t="shared" si="29"/>
        <v>0</v>
      </c>
      <c r="AV80" s="356">
        <f t="shared" si="29"/>
        <v>0</v>
      </c>
      <c r="AW80" s="356">
        <f t="shared" si="29"/>
        <v>0</v>
      </c>
      <c r="AX80" s="356">
        <f t="shared" si="29"/>
        <v>0</v>
      </c>
      <c r="AY80" s="356">
        <f t="shared" si="29"/>
        <v>0</v>
      </c>
      <c r="AZ80" s="356">
        <f t="shared" si="29"/>
        <v>0</v>
      </c>
      <c r="BA80" s="356">
        <f t="shared" si="29"/>
        <v>0</v>
      </c>
      <c r="BB80" s="356">
        <f t="shared" si="29"/>
        <v>0</v>
      </c>
      <c r="BC80" s="344">
        <v>68</v>
      </c>
    </row>
    <row r="81" spans="1:55" x14ac:dyDescent="0.25">
      <c r="A81" s="1895"/>
      <c r="B81" s="1895"/>
      <c r="C81" s="2028"/>
      <c r="D81" s="1897"/>
      <c r="E81" s="1897"/>
      <c r="F81" s="1897"/>
      <c r="G81" s="358" t="str">
        <f t="shared" si="16"/>
        <v xml:space="preserve"> </v>
      </c>
      <c r="H81" s="1031">
        <f t="shared" si="17"/>
        <v>0</v>
      </c>
      <c r="I81" s="356" t="e">
        <f t="shared" si="30"/>
        <v>#DIV/0!</v>
      </c>
      <c r="J81" s="5" t="e">
        <f t="shared" si="18"/>
        <v>#DIV/0!</v>
      </c>
      <c r="K81" s="35" t="e">
        <f t="shared" si="31"/>
        <v>#DIV/0!</v>
      </c>
      <c r="L81" s="1032">
        <f t="shared" si="32"/>
        <v>0</v>
      </c>
      <c r="O81" s="356" t="e">
        <f t="shared" si="34"/>
        <v>#DIV/0!</v>
      </c>
      <c r="P81" s="356">
        <f t="shared" si="34"/>
        <v>0</v>
      </c>
      <c r="Q81" s="356">
        <f t="shared" si="34"/>
        <v>0</v>
      </c>
      <c r="R81" s="356">
        <f t="shared" si="34"/>
        <v>0</v>
      </c>
      <c r="S81" s="356">
        <f t="shared" si="34"/>
        <v>0</v>
      </c>
      <c r="T81" s="356">
        <f t="shared" si="34"/>
        <v>0</v>
      </c>
      <c r="U81" s="356">
        <f t="shared" si="34"/>
        <v>0</v>
      </c>
      <c r="V81" s="356">
        <f t="shared" si="34"/>
        <v>0</v>
      </c>
      <c r="W81" s="356">
        <f t="shared" si="34"/>
        <v>0</v>
      </c>
      <c r="X81" s="356">
        <f t="shared" si="34"/>
        <v>0</v>
      </c>
      <c r="Y81" s="356">
        <f t="shared" si="34"/>
        <v>0</v>
      </c>
      <c r="Z81" s="356">
        <f t="shared" si="34"/>
        <v>0</v>
      </c>
      <c r="AA81" s="356">
        <f t="shared" si="34"/>
        <v>0</v>
      </c>
      <c r="AB81" s="356">
        <f t="shared" si="34"/>
        <v>0</v>
      </c>
      <c r="AC81" s="356">
        <f t="shared" si="34"/>
        <v>0</v>
      </c>
      <c r="AD81" s="356">
        <f t="shared" si="34"/>
        <v>0</v>
      </c>
      <c r="AE81" s="356">
        <f t="shared" si="33"/>
        <v>0</v>
      </c>
      <c r="AF81" s="356">
        <f t="shared" si="33"/>
        <v>0</v>
      </c>
      <c r="AG81" s="356">
        <f t="shared" si="33"/>
        <v>0</v>
      </c>
      <c r="AH81" s="356">
        <f t="shared" si="33"/>
        <v>0</v>
      </c>
      <c r="AI81" s="356">
        <f t="shared" si="33"/>
        <v>0</v>
      </c>
      <c r="AJ81" s="356">
        <f t="shared" si="33"/>
        <v>0</v>
      </c>
      <c r="AK81" s="356">
        <f t="shared" si="33"/>
        <v>0</v>
      </c>
      <c r="AL81" s="356">
        <f t="shared" si="33"/>
        <v>0</v>
      </c>
      <c r="AM81" s="356">
        <f t="shared" si="33"/>
        <v>0</v>
      </c>
      <c r="AN81" s="356">
        <f t="shared" si="33"/>
        <v>0</v>
      </c>
      <c r="AO81" s="356">
        <f t="shared" si="33"/>
        <v>0</v>
      </c>
      <c r="AP81" s="356">
        <f t="shared" si="33"/>
        <v>0</v>
      </c>
      <c r="AQ81" s="356">
        <f t="shared" si="33"/>
        <v>0</v>
      </c>
      <c r="AR81" s="356">
        <f t="shared" si="33"/>
        <v>0</v>
      </c>
      <c r="AS81" s="356">
        <f t="shared" si="33"/>
        <v>0</v>
      </c>
      <c r="AT81" s="356">
        <f t="shared" si="29"/>
        <v>0</v>
      </c>
      <c r="AU81" s="356">
        <f t="shared" si="29"/>
        <v>0</v>
      </c>
      <c r="AV81" s="356">
        <f t="shared" si="29"/>
        <v>0</v>
      </c>
      <c r="AW81" s="356">
        <f t="shared" si="29"/>
        <v>0</v>
      </c>
      <c r="AX81" s="356">
        <f t="shared" si="29"/>
        <v>0</v>
      </c>
      <c r="AY81" s="356">
        <f t="shared" si="29"/>
        <v>0</v>
      </c>
      <c r="AZ81" s="356">
        <f t="shared" si="29"/>
        <v>0</v>
      </c>
      <c r="BA81" s="356">
        <f t="shared" si="29"/>
        <v>0</v>
      </c>
      <c r="BB81" s="356">
        <f t="shared" si="29"/>
        <v>0</v>
      </c>
      <c r="BC81" s="344">
        <v>69</v>
      </c>
    </row>
    <row r="82" spans="1:55" x14ac:dyDescent="0.25">
      <c r="A82" s="1895"/>
      <c r="B82" s="1895"/>
      <c r="C82" s="2028"/>
      <c r="D82" s="1897"/>
      <c r="E82" s="1897"/>
      <c r="F82" s="1897"/>
      <c r="G82" s="358" t="str">
        <f t="shared" si="16"/>
        <v xml:space="preserve"> </v>
      </c>
      <c r="H82" s="1031">
        <f t="shared" si="17"/>
        <v>0</v>
      </c>
      <c r="I82" s="356" t="e">
        <f t="shared" si="30"/>
        <v>#DIV/0!</v>
      </c>
      <c r="J82" s="5" t="e">
        <f t="shared" si="18"/>
        <v>#DIV/0!</v>
      </c>
      <c r="K82" s="35" t="e">
        <f t="shared" si="31"/>
        <v>#DIV/0!</v>
      </c>
      <c r="L82" s="1032">
        <f t="shared" si="32"/>
        <v>0</v>
      </c>
      <c r="O82" s="356" t="e">
        <f t="shared" si="34"/>
        <v>#DIV/0!</v>
      </c>
      <c r="P82" s="356">
        <f t="shared" si="34"/>
        <v>0</v>
      </c>
      <c r="Q82" s="356">
        <f t="shared" si="34"/>
        <v>0</v>
      </c>
      <c r="R82" s="356">
        <f t="shared" si="34"/>
        <v>0</v>
      </c>
      <c r="S82" s="356">
        <f t="shared" si="34"/>
        <v>0</v>
      </c>
      <c r="T82" s="356">
        <f t="shared" si="34"/>
        <v>0</v>
      </c>
      <c r="U82" s="356">
        <f t="shared" si="34"/>
        <v>0</v>
      </c>
      <c r="V82" s="356">
        <f t="shared" si="34"/>
        <v>0</v>
      </c>
      <c r="W82" s="356">
        <f t="shared" si="34"/>
        <v>0</v>
      </c>
      <c r="X82" s="356">
        <f t="shared" si="34"/>
        <v>0</v>
      </c>
      <c r="Y82" s="356">
        <f t="shared" si="34"/>
        <v>0</v>
      </c>
      <c r="Z82" s="356">
        <f t="shared" si="34"/>
        <v>0</v>
      </c>
      <c r="AA82" s="356">
        <f t="shared" si="34"/>
        <v>0</v>
      </c>
      <c r="AB82" s="356">
        <f t="shared" si="34"/>
        <v>0</v>
      </c>
      <c r="AC82" s="356">
        <f t="shared" si="34"/>
        <v>0</v>
      </c>
      <c r="AD82" s="356">
        <f t="shared" si="34"/>
        <v>0</v>
      </c>
      <c r="AE82" s="356">
        <f t="shared" si="33"/>
        <v>0</v>
      </c>
      <c r="AF82" s="356">
        <f t="shared" si="33"/>
        <v>0</v>
      </c>
      <c r="AG82" s="356">
        <f t="shared" si="33"/>
        <v>0</v>
      </c>
      <c r="AH82" s="356">
        <f t="shared" si="33"/>
        <v>0</v>
      </c>
      <c r="AI82" s="356">
        <f t="shared" si="33"/>
        <v>0</v>
      </c>
      <c r="AJ82" s="356">
        <f t="shared" si="33"/>
        <v>0</v>
      </c>
      <c r="AK82" s="356">
        <f t="shared" si="33"/>
        <v>0</v>
      </c>
      <c r="AL82" s="356">
        <f t="shared" si="33"/>
        <v>0</v>
      </c>
      <c r="AM82" s="356">
        <f t="shared" si="33"/>
        <v>0</v>
      </c>
      <c r="AN82" s="356">
        <f t="shared" si="33"/>
        <v>0</v>
      </c>
      <c r="AO82" s="356">
        <f t="shared" si="33"/>
        <v>0</v>
      </c>
      <c r="AP82" s="356">
        <f t="shared" si="33"/>
        <v>0</v>
      </c>
      <c r="AQ82" s="356">
        <f t="shared" si="33"/>
        <v>0</v>
      </c>
      <c r="AR82" s="356">
        <f t="shared" si="33"/>
        <v>0</v>
      </c>
      <c r="AS82" s="356">
        <f t="shared" si="33"/>
        <v>0</v>
      </c>
      <c r="AT82" s="356">
        <f t="shared" si="29"/>
        <v>0</v>
      </c>
      <c r="AU82" s="356">
        <f t="shared" si="29"/>
        <v>0</v>
      </c>
      <c r="AV82" s="356">
        <f t="shared" si="29"/>
        <v>0</v>
      </c>
      <c r="AW82" s="356">
        <f t="shared" si="29"/>
        <v>0</v>
      </c>
      <c r="AX82" s="356">
        <f t="shared" si="29"/>
        <v>0</v>
      </c>
      <c r="AY82" s="356">
        <f t="shared" si="29"/>
        <v>0</v>
      </c>
      <c r="AZ82" s="356">
        <f t="shared" si="29"/>
        <v>0</v>
      </c>
      <c r="BA82" s="356">
        <f t="shared" si="29"/>
        <v>0</v>
      </c>
      <c r="BB82" s="356">
        <f t="shared" si="29"/>
        <v>0</v>
      </c>
      <c r="BC82" s="344">
        <v>70</v>
      </c>
    </row>
    <row r="83" spans="1:55" ht="37.5" x14ac:dyDescent="0.25">
      <c r="A83" s="1074" t="s">
        <v>24</v>
      </c>
      <c r="B83" s="1075"/>
      <c r="C83" s="1077"/>
      <c r="D83" s="1076">
        <f>SUM(D84:D97)</f>
        <v>0</v>
      </c>
      <c r="E83" s="1078"/>
      <c r="F83" s="1079"/>
      <c r="G83" s="1079"/>
      <c r="H83" s="1079"/>
      <c r="I83" s="1080" t="e">
        <f>SUM(I84:I97)</f>
        <v>#DIV/0!</v>
      </c>
      <c r="J83" s="1076" t="e">
        <f>SUM(J84:J97)</f>
        <v>#DIV/0!</v>
      </c>
      <c r="K83" s="1081" t="e">
        <f>SUM(K84:K97)</f>
        <v>#DIV/0!</v>
      </c>
      <c r="L83" s="1082">
        <f>SUM(L84:L97)</f>
        <v>0</v>
      </c>
      <c r="O83" s="356" t="e">
        <f t="shared" si="34"/>
        <v>#DIV/0!</v>
      </c>
      <c r="P83" s="356">
        <f t="shared" si="34"/>
        <v>0</v>
      </c>
      <c r="Q83" s="356">
        <f t="shared" si="34"/>
        <v>0</v>
      </c>
      <c r="R83" s="356">
        <f t="shared" si="34"/>
        <v>0</v>
      </c>
      <c r="S83" s="356">
        <f t="shared" si="34"/>
        <v>0</v>
      </c>
      <c r="T83" s="356">
        <f t="shared" si="34"/>
        <v>0</v>
      </c>
      <c r="U83" s="356">
        <f t="shared" si="34"/>
        <v>0</v>
      </c>
      <c r="V83" s="356">
        <f t="shared" si="34"/>
        <v>0</v>
      </c>
      <c r="W83" s="356">
        <f t="shared" si="34"/>
        <v>0</v>
      </c>
      <c r="X83" s="356">
        <f t="shared" si="34"/>
        <v>0</v>
      </c>
      <c r="Y83" s="356">
        <f t="shared" si="34"/>
        <v>0</v>
      </c>
      <c r="Z83" s="356">
        <f t="shared" si="34"/>
        <v>0</v>
      </c>
      <c r="AA83" s="356">
        <f t="shared" si="34"/>
        <v>0</v>
      </c>
      <c r="AB83" s="356">
        <f t="shared" si="34"/>
        <v>0</v>
      </c>
      <c r="AC83" s="356">
        <f t="shared" si="34"/>
        <v>0</v>
      </c>
      <c r="AD83" s="356">
        <f t="shared" si="34"/>
        <v>0</v>
      </c>
      <c r="AE83" s="356">
        <f t="shared" si="33"/>
        <v>0</v>
      </c>
      <c r="AF83" s="356">
        <f t="shared" si="33"/>
        <v>0</v>
      </c>
      <c r="AG83" s="356">
        <f t="shared" si="33"/>
        <v>0</v>
      </c>
      <c r="AH83" s="356">
        <f t="shared" si="33"/>
        <v>0</v>
      </c>
      <c r="AI83" s="356">
        <f t="shared" si="33"/>
        <v>0</v>
      </c>
      <c r="AJ83" s="356">
        <f t="shared" si="33"/>
        <v>0</v>
      </c>
      <c r="AK83" s="356">
        <f t="shared" si="33"/>
        <v>0</v>
      </c>
      <c r="AL83" s="356">
        <f t="shared" si="33"/>
        <v>0</v>
      </c>
      <c r="AM83" s="356">
        <f t="shared" si="33"/>
        <v>0</v>
      </c>
      <c r="AN83" s="356">
        <f t="shared" si="33"/>
        <v>0</v>
      </c>
      <c r="AO83" s="356">
        <f t="shared" si="33"/>
        <v>0</v>
      </c>
      <c r="AP83" s="356">
        <f t="shared" si="33"/>
        <v>0</v>
      </c>
      <c r="AQ83" s="356">
        <f t="shared" si="33"/>
        <v>0</v>
      </c>
      <c r="AR83" s="356">
        <f t="shared" si="33"/>
        <v>0</v>
      </c>
      <c r="AS83" s="356">
        <f t="shared" si="33"/>
        <v>0</v>
      </c>
      <c r="AT83" s="356">
        <f t="shared" si="29"/>
        <v>0</v>
      </c>
      <c r="AU83" s="356">
        <f t="shared" si="29"/>
        <v>0</v>
      </c>
      <c r="AV83" s="356">
        <f t="shared" si="29"/>
        <v>0</v>
      </c>
      <c r="AW83" s="356">
        <f t="shared" si="29"/>
        <v>0</v>
      </c>
      <c r="AX83" s="356">
        <f t="shared" si="29"/>
        <v>0</v>
      </c>
      <c r="AY83" s="356">
        <f t="shared" si="29"/>
        <v>0</v>
      </c>
      <c r="AZ83" s="356">
        <f t="shared" si="29"/>
        <v>0</v>
      </c>
      <c r="BA83" s="356">
        <f t="shared" si="29"/>
        <v>0</v>
      </c>
      <c r="BB83" s="356">
        <f t="shared" si="29"/>
        <v>0</v>
      </c>
      <c r="BC83" s="344">
        <v>71</v>
      </c>
    </row>
    <row r="84" spans="1:55" x14ac:dyDescent="0.25">
      <c r="A84" s="1894"/>
      <c r="B84" s="1895"/>
      <c r="C84" s="2028"/>
      <c r="D84" s="1897"/>
      <c r="E84" s="1897"/>
      <c r="F84" s="1897"/>
      <c r="G84" s="358" t="str">
        <f t="shared" si="16"/>
        <v xml:space="preserve"> </v>
      </c>
      <c r="H84" s="1031">
        <f t="shared" si="17"/>
        <v>0</v>
      </c>
      <c r="I84" s="356" t="e">
        <f t="shared" ref="I84:I97" si="35">HLOOKUP($B$11,$O$13:$BB$116,BC84,FALSE)</f>
        <v>#DIV/0!</v>
      </c>
      <c r="J84" s="5" t="e">
        <f t="shared" ref="J84" si="36">SUM(O84:BB84)</f>
        <v>#DIV/0!</v>
      </c>
      <c r="K84" s="35" t="e">
        <f t="shared" ref="K84:K97" si="37">IF(C84&gt;$B$11,0,D84-J84)</f>
        <v>#DIV/0!</v>
      </c>
      <c r="L84" s="1032">
        <f t="shared" ref="L84:L97" si="38">IF(((D84-E84)*(1-(0.2*($B$11-C84))))&lt;0,0,((D84-E84)*(1-(0.2*($B$11-C84)))))</f>
        <v>0</v>
      </c>
      <c r="O84" s="356" t="e">
        <f t="shared" si="34"/>
        <v>#DIV/0!</v>
      </c>
      <c r="P84" s="356">
        <f t="shared" si="34"/>
        <v>0</v>
      </c>
      <c r="Q84" s="356">
        <f t="shared" si="34"/>
        <v>0</v>
      </c>
      <c r="R84" s="356">
        <f t="shared" si="34"/>
        <v>0</v>
      </c>
      <c r="S84" s="356">
        <f t="shared" si="34"/>
        <v>0</v>
      </c>
      <c r="T84" s="356">
        <f t="shared" si="34"/>
        <v>0</v>
      </c>
      <c r="U84" s="356">
        <f t="shared" si="34"/>
        <v>0</v>
      </c>
      <c r="V84" s="356">
        <f t="shared" si="34"/>
        <v>0</v>
      </c>
      <c r="W84" s="356">
        <f t="shared" si="34"/>
        <v>0</v>
      </c>
      <c r="X84" s="356">
        <f t="shared" si="34"/>
        <v>0</v>
      </c>
      <c r="Y84" s="356">
        <f t="shared" si="34"/>
        <v>0</v>
      </c>
      <c r="Z84" s="356">
        <f t="shared" si="34"/>
        <v>0</v>
      </c>
      <c r="AA84" s="356">
        <f t="shared" si="34"/>
        <v>0</v>
      </c>
      <c r="AB84" s="356">
        <f t="shared" si="34"/>
        <v>0</v>
      </c>
      <c r="AC84" s="356">
        <f t="shared" si="34"/>
        <v>0</v>
      </c>
      <c r="AD84" s="356">
        <f t="shared" ref="AD84:AS99" si="39">IF($H84=AD$13,(($B84-1)/12)*SLN($D84,$E84,$F84),IF($C84=AD$13,((12-$G84)/12)*SLN($D84,$E84,$F84),IF(AND(AD$13&gt;$C84,AD$13&lt;$H84),SLN($D84,$E84,$F84),0)))</f>
        <v>0</v>
      </c>
      <c r="AE84" s="356">
        <f t="shared" si="39"/>
        <v>0</v>
      </c>
      <c r="AF84" s="356">
        <f t="shared" si="39"/>
        <v>0</v>
      </c>
      <c r="AG84" s="356">
        <f t="shared" si="39"/>
        <v>0</v>
      </c>
      <c r="AH84" s="356">
        <f t="shared" si="39"/>
        <v>0</v>
      </c>
      <c r="AI84" s="356">
        <f t="shared" si="39"/>
        <v>0</v>
      </c>
      <c r="AJ84" s="356">
        <f t="shared" si="39"/>
        <v>0</v>
      </c>
      <c r="AK84" s="356">
        <f t="shared" si="39"/>
        <v>0</v>
      </c>
      <c r="AL84" s="356">
        <f t="shared" si="39"/>
        <v>0</v>
      </c>
      <c r="AM84" s="356">
        <f t="shared" si="39"/>
        <v>0</v>
      </c>
      <c r="AN84" s="356">
        <f t="shared" si="39"/>
        <v>0</v>
      </c>
      <c r="AO84" s="356">
        <f t="shared" si="39"/>
        <v>0</v>
      </c>
      <c r="AP84" s="356">
        <f t="shared" si="39"/>
        <v>0</v>
      </c>
      <c r="AQ84" s="356">
        <f t="shared" si="39"/>
        <v>0</v>
      </c>
      <c r="AR84" s="356">
        <f t="shared" si="39"/>
        <v>0</v>
      </c>
      <c r="AS84" s="356">
        <f t="shared" si="39"/>
        <v>0</v>
      </c>
      <c r="AT84" s="356">
        <f t="shared" si="29"/>
        <v>0</v>
      </c>
      <c r="AU84" s="356">
        <f t="shared" si="29"/>
        <v>0</v>
      </c>
      <c r="AV84" s="356">
        <f t="shared" si="29"/>
        <v>0</v>
      </c>
      <c r="AW84" s="356">
        <f t="shared" si="29"/>
        <v>0</v>
      </c>
      <c r="AX84" s="356">
        <f t="shared" si="29"/>
        <v>0</v>
      </c>
      <c r="AY84" s="356">
        <f t="shared" si="29"/>
        <v>0</v>
      </c>
      <c r="AZ84" s="356">
        <f t="shared" si="29"/>
        <v>0</v>
      </c>
      <c r="BA84" s="356">
        <f t="shared" si="29"/>
        <v>0</v>
      </c>
      <c r="BB84" s="356">
        <f t="shared" si="29"/>
        <v>0</v>
      </c>
      <c r="BC84" s="344">
        <v>72</v>
      </c>
    </row>
    <row r="85" spans="1:55" x14ac:dyDescent="0.25">
      <c r="A85" s="1894"/>
      <c r="B85" s="1895"/>
      <c r="C85" s="2028"/>
      <c r="D85" s="1897"/>
      <c r="E85" s="1897"/>
      <c r="F85" s="1897"/>
      <c r="G85" s="358" t="str">
        <f t="shared" si="16"/>
        <v xml:space="preserve"> </v>
      </c>
      <c r="H85" s="1031">
        <f t="shared" si="17"/>
        <v>0</v>
      </c>
      <c r="I85" s="356" t="e">
        <f t="shared" si="35"/>
        <v>#DIV/0!</v>
      </c>
      <c r="J85" s="5" t="e">
        <f t="shared" ref="J85:J116" si="40">SUM(O85:BB85)</f>
        <v>#DIV/0!</v>
      </c>
      <c r="K85" s="35" t="e">
        <f t="shared" si="37"/>
        <v>#DIV/0!</v>
      </c>
      <c r="L85" s="1032">
        <f t="shared" si="38"/>
        <v>0</v>
      </c>
      <c r="O85" s="356" t="e">
        <f t="shared" ref="O85:AD100" si="41">IF($H85=O$13,(($B85-1)/12)*SLN($D85,$E85,$F85),IF($C85=O$13,((12-$G85)/12)*SLN($D85,$E85,$F85),IF(AND(O$13&gt;$C85,O$13&lt;$H85),SLN($D85,$E85,$F85),0)))</f>
        <v>#DIV/0!</v>
      </c>
      <c r="P85" s="356">
        <f t="shared" si="41"/>
        <v>0</v>
      </c>
      <c r="Q85" s="356">
        <f t="shared" si="41"/>
        <v>0</v>
      </c>
      <c r="R85" s="356">
        <f t="shared" si="41"/>
        <v>0</v>
      </c>
      <c r="S85" s="356">
        <f t="shared" si="41"/>
        <v>0</v>
      </c>
      <c r="T85" s="356">
        <f t="shared" si="41"/>
        <v>0</v>
      </c>
      <c r="U85" s="356">
        <f t="shared" si="41"/>
        <v>0</v>
      </c>
      <c r="V85" s="356">
        <f t="shared" si="41"/>
        <v>0</v>
      </c>
      <c r="W85" s="356">
        <f t="shared" si="41"/>
        <v>0</v>
      </c>
      <c r="X85" s="356">
        <f t="shared" si="41"/>
        <v>0</v>
      </c>
      <c r="Y85" s="356">
        <f t="shared" si="41"/>
        <v>0</v>
      </c>
      <c r="Z85" s="356">
        <f t="shared" si="41"/>
        <v>0</v>
      </c>
      <c r="AA85" s="356">
        <f t="shared" si="41"/>
        <v>0</v>
      </c>
      <c r="AB85" s="356">
        <f t="shared" si="41"/>
        <v>0</v>
      </c>
      <c r="AC85" s="356">
        <f t="shared" si="41"/>
        <v>0</v>
      </c>
      <c r="AD85" s="356">
        <f t="shared" si="41"/>
        <v>0</v>
      </c>
      <c r="AE85" s="356">
        <f t="shared" si="39"/>
        <v>0</v>
      </c>
      <c r="AF85" s="356">
        <f t="shared" si="39"/>
        <v>0</v>
      </c>
      <c r="AG85" s="356">
        <f t="shared" si="39"/>
        <v>0</v>
      </c>
      <c r="AH85" s="356">
        <f t="shared" si="39"/>
        <v>0</v>
      </c>
      <c r="AI85" s="356">
        <f t="shared" si="39"/>
        <v>0</v>
      </c>
      <c r="AJ85" s="356">
        <f t="shared" si="39"/>
        <v>0</v>
      </c>
      <c r="AK85" s="356">
        <f t="shared" si="39"/>
        <v>0</v>
      </c>
      <c r="AL85" s="356">
        <f t="shared" si="39"/>
        <v>0</v>
      </c>
      <c r="AM85" s="356">
        <f t="shared" si="39"/>
        <v>0</v>
      </c>
      <c r="AN85" s="356">
        <f t="shared" si="39"/>
        <v>0</v>
      </c>
      <c r="AO85" s="356">
        <f t="shared" si="39"/>
        <v>0</v>
      </c>
      <c r="AP85" s="356">
        <f t="shared" si="39"/>
        <v>0</v>
      </c>
      <c r="AQ85" s="356">
        <f t="shared" si="39"/>
        <v>0</v>
      </c>
      <c r="AR85" s="356">
        <f t="shared" si="39"/>
        <v>0</v>
      </c>
      <c r="AS85" s="356">
        <f t="shared" si="39"/>
        <v>0</v>
      </c>
      <c r="AT85" s="356">
        <f t="shared" si="29"/>
        <v>0</v>
      </c>
      <c r="AU85" s="356">
        <f t="shared" si="29"/>
        <v>0</v>
      </c>
      <c r="AV85" s="356">
        <f t="shared" si="29"/>
        <v>0</v>
      </c>
      <c r="AW85" s="356">
        <f t="shared" si="29"/>
        <v>0</v>
      </c>
      <c r="AX85" s="356">
        <f t="shared" si="29"/>
        <v>0</v>
      </c>
      <c r="AY85" s="356">
        <f t="shared" si="29"/>
        <v>0</v>
      </c>
      <c r="AZ85" s="356">
        <f t="shared" si="29"/>
        <v>0</v>
      </c>
      <c r="BA85" s="356">
        <f t="shared" si="29"/>
        <v>0</v>
      </c>
      <c r="BB85" s="356">
        <f t="shared" si="29"/>
        <v>0</v>
      </c>
      <c r="BC85" s="344">
        <v>73</v>
      </c>
    </row>
    <row r="86" spans="1:55" x14ac:dyDescent="0.25">
      <c r="A86" s="1894"/>
      <c r="B86" s="1895"/>
      <c r="C86" s="2028"/>
      <c r="D86" s="1897"/>
      <c r="E86" s="1897"/>
      <c r="F86" s="1897"/>
      <c r="G86" s="358" t="str">
        <f t="shared" si="16"/>
        <v xml:space="preserve"> </v>
      </c>
      <c r="H86" s="1031">
        <f t="shared" si="17"/>
        <v>0</v>
      </c>
      <c r="I86" s="356" t="e">
        <f t="shared" si="35"/>
        <v>#DIV/0!</v>
      </c>
      <c r="J86" s="5" t="e">
        <f t="shared" si="40"/>
        <v>#DIV/0!</v>
      </c>
      <c r="K86" s="35" t="e">
        <f t="shared" si="37"/>
        <v>#DIV/0!</v>
      </c>
      <c r="L86" s="1032">
        <f t="shared" si="38"/>
        <v>0</v>
      </c>
      <c r="O86" s="356" t="e">
        <f t="shared" si="41"/>
        <v>#DIV/0!</v>
      </c>
      <c r="P86" s="356">
        <f t="shared" si="41"/>
        <v>0</v>
      </c>
      <c r="Q86" s="356">
        <f t="shared" si="41"/>
        <v>0</v>
      </c>
      <c r="R86" s="356">
        <f t="shared" si="41"/>
        <v>0</v>
      </c>
      <c r="S86" s="356">
        <f t="shared" si="41"/>
        <v>0</v>
      </c>
      <c r="T86" s="356">
        <f t="shared" si="41"/>
        <v>0</v>
      </c>
      <c r="U86" s="356">
        <f t="shared" si="41"/>
        <v>0</v>
      </c>
      <c r="V86" s="356">
        <f t="shared" si="41"/>
        <v>0</v>
      </c>
      <c r="W86" s="356">
        <f t="shared" si="41"/>
        <v>0</v>
      </c>
      <c r="X86" s="356">
        <f t="shared" si="41"/>
        <v>0</v>
      </c>
      <c r="Y86" s="356">
        <f t="shared" si="41"/>
        <v>0</v>
      </c>
      <c r="Z86" s="356">
        <f t="shared" si="41"/>
        <v>0</v>
      </c>
      <c r="AA86" s="356">
        <f t="shared" si="41"/>
        <v>0</v>
      </c>
      <c r="AB86" s="356">
        <f t="shared" si="41"/>
        <v>0</v>
      </c>
      <c r="AC86" s="356">
        <f t="shared" si="41"/>
        <v>0</v>
      </c>
      <c r="AD86" s="356">
        <f t="shared" si="41"/>
        <v>0</v>
      </c>
      <c r="AE86" s="356">
        <f t="shared" si="39"/>
        <v>0</v>
      </c>
      <c r="AF86" s="356">
        <f t="shared" si="39"/>
        <v>0</v>
      </c>
      <c r="AG86" s="356">
        <f t="shared" si="39"/>
        <v>0</v>
      </c>
      <c r="AH86" s="356">
        <f t="shared" si="39"/>
        <v>0</v>
      </c>
      <c r="AI86" s="356">
        <f t="shared" si="39"/>
        <v>0</v>
      </c>
      <c r="AJ86" s="356">
        <f t="shared" si="39"/>
        <v>0</v>
      </c>
      <c r="AK86" s="356">
        <f t="shared" si="39"/>
        <v>0</v>
      </c>
      <c r="AL86" s="356">
        <f t="shared" si="39"/>
        <v>0</v>
      </c>
      <c r="AM86" s="356">
        <f t="shared" si="39"/>
        <v>0</v>
      </c>
      <c r="AN86" s="356">
        <f t="shared" si="39"/>
        <v>0</v>
      </c>
      <c r="AO86" s="356">
        <f t="shared" si="39"/>
        <v>0</v>
      </c>
      <c r="AP86" s="356">
        <f t="shared" si="39"/>
        <v>0</v>
      </c>
      <c r="AQ86" s="356">
        <f t="shared" si="39"/>
        <v>0</v>
      </c>
      <c r="AR86" s="356">
        <f t="shared" si="39"/>
        <v>0</v>
      </c>
      <c r="AS86" s="356">
        <f t="shared" si="39"/>
        <v>0</v>
      </c>
      <c r="AT86" s="356">
        <f t="shared" si="29"/>
        <v>0</v>
      </c>
      <c r="AU86" s="356">
        <f t="shared" si="29"/>
        <v>0</v>
      </c>
      <c r="AV86" s="356">
        <f t="shared" si="29"/>
        <v>0</v>
      </c>
      <c r="AW86" s="356">
        <f t="shared" si="29"/>
        <v>0</v>
      </c>
      <c r="AX86" s="356">
        <f t="shared" si="29"/>
        <v>0</v>
      </c>
      <c r="AY86" s="356">
        <f t="shared" si="29"/>
        <v>0</v>
      </c>
      <c r="AZ86" s="356">
        <f t="shared" si="29"/>
        <v>0</v>
      </c>
      <c r="BA86" s="356">
        <f t="shared" si="29"/>
        <v>0</v>
      </c>
      <c r="BB86" s="356">
        <f t="shared" si="29"/>
        <v>0</v>
      </c>
      <c r="BC86" s="344">
        <v>74</v>
      </c>
    </row>
    <row r="87" spans="1:55" x14ac:dyDescent="0.25">
      <c r="A87" s="1894"/>
      <c r="B87" s="1895"/>
      <c r="C87" s="2028"/>
      <c r="D87" s="1897"/>
      <c r="E87" s="1897"/>
      <c r="F87" s="1897"/>
      <c r="G87" s="358" t="str">
        <f t="shared" si="16"/>
        <v xml:space="preserve"> </v>
      </c>
      <c r="H87" s="1031">
        <f t="shared" si="17"/>
        <v>0</v>
      </c>
      <c r="I87" s="356" t="e">
        <f t="shared" si="35"/>
        <v>#DIV/0!</v>
      </c>
      <c r="J87" s="5" t="e">
        <f t="shared" si="40"/>
        <v>#DIV/0!</v>
      </c>
      <c r="K87" s="35" t="e">
        <f t="shared" si="37"/>
        <v>#DIV/0!</v>
      </c>
      <c r="L87" s="1032">
        <f t="shared" si="38"/>
        <v>0</v>
      </c>
      <c r="O87" s="356" t="e">
        <f t="shared" si="41"/>
        <v>#DIV/0!</v>
      </c>
      <c r="P87" s="356">
        <f t="shared" si="41"/>
        <v>0</v>
      </c>
      <c r="Q87" s="356">
        <f t="shared" si="41"/>
        <v>0</v>
      </c>
      <c r="R87" s="356">
        <f t="shared" si="41"/>
        <v>0</v>
      </c>
      <c r="S87" s="356">
        <f t="shared" si="41"/>
        <v>0</v>
      </c>
      <c r="T87" s="356">
        <f t="shared" si="41"/>
        <v>0</v>
      </c>
      <c r="U87" s="356">
        <f t="shared" si="41"/>
        <v>0</v>
      </c>
      <c r="V87" s="356">
        <f t="shared" si="41"/>
        <v>0</v>
      </c>
      <c r="W87" s="356">
        <f t="shared" si="41"/>
        <v>0</v>
      </c>
      <c r="X87" s="356">
        <f t="shared" si="41"/>
        <v>0</v>
      </c>
      <c r="Y87" s="356">
        <f t="shared" si="41"/>
        <v>0</v>
      </c>
      <c r="Z87" s="356">
        <f t="shared" si="41"/>
        <v>0</v>
      </c>
      <c r="AA87" s="356">
        <f t="shared" si="41"/>
        <v>0</v>
      </c>
      <c r="AB87" s="356">
        <f t="shared" si="41"/>
        <v>0</v>
      </c>
      <c r="AC87" s="356">
        <f t="shared" si="41"/>
        <v>0</v>
      </c>
      <c r="AD87" s="356">
        <f t="shared" si="41"/>
        <v>0</v>
      </c>
      <c r="AE87" s="356">
        <f t="shared" si="39"/>
        <v>0</v>
      </c>
      <c r="AF87" s="356">
        <f t="shared" si="39"/>
        <v>0</v>
      </c>
      <c r="AG87" s="356">
        <f t="shared" si="39"/>
        <v>0</v>
      </c>
      <c r="AH87" s="356">
        <f t="shared" si="39"/>
        <v>0</v>
      </c>
      <c r="AI87" s="356">
        <f t="shared" si="39"/>
        <v>0</v>
      </c>
      <c r="AJ87" s="356">
        <f t="shared" si="39"/>
        <v>0</v>
      </c>
      <c r="AK87" s="356">
        <f t="shared" si="39"/>
        <v>0</v>
      </c>
      <c r="AL87" s="356">
        <f t="shared" si="39"/>
        <v>0</v>
      </c>
      <c r="AM87" s="356">
        <f t="shared" si="39"/>
        <v>0</v>
      </c>
      <c r="AN87" s="356">
        <f t="shared" si="39"/>
        <v>0</v>
      </c>
      <c r="AO87" s="356">
        <f t="shared" si="39"/>
        <v>0</v>
      </c>
      <c r="AP87" s="356">
        <f t="shared" si="39"/>
        <v>0</v>
      </c>
      <c r="AQ87" s="356">
        <f t="shared" si="39"/>
        <v>0</v>
      </c>
      <c r="AR87" s="356">
        <f t="shared" si="39"/>
        <v>0</v>
      </c>
      <c r="AS87" s="356">
        <f t="shared" si="39"/>
        <v>0</v>
      </c>
      <c r="AT87" s="356">
        <f t="shared" si="29"/>
        <v>0</v>
      </c>
      <c r="AU87" s="356">
        <f t="shared" si="29"/>
        <v>0</v>
      </c>
      <c r="AV87" s="356">
        <f t="shared" si="29"/>
        <v>0</v>
      </c>
      <c r="AW87" s="356">
        <f t="shared" ref="AW87:BB87" si="42">IF($H87=AW$13,(($B87-1)/12)*SLN($D87,$E87,$F87),IF($C87=AW$13,((12-$G87)/12)*SLN($D87,$E87,$F87),IF(AND(AW$13&gt;$C87,AW$13&lt;$H87),SLN($D87,$E87,$F87),0)))</f>
        <v>0</v>
      </c>
      <c r="AX87" s="356">
        <f t="shared" si="42"/>
        <v>0</v>
      </c>
      <c r="AY87" s="356">
        <f t="shared" si="42"/>
        <v>0</v>
      </c>
      <c r="AZ87" s="356">
        <f t="shared" si="42"/>
        <v>0</v>
      </c>
      <c r="BA87" s="356">
        <f t="shared" si="42"/>
        <v>0</v>
      </c>
      <c r="BB87" s="356">
        <f t="shared" si="42"/>
        <v>0</v>
      </c>
      <c r="BC87" s="344">
        <v>75</v>
      </c>
    </row>
    <row r="88" spans="1:55" x14ac:dyDescent="0.25">
      <c r="A88" s="1895"/>
      <c r="B88" s="1895"/>
      <c r="C88" s="2028"/>
      <c r="D88" s="1897"/>
      <c r="E88" s="1897"/>
      <c r="F88" s="1897"/>
      <c r="G88" s="358" t="str">
        <f t="shared" si="16"/>
        <v xml:space="preserve"> </v>
      </c>
      <c r="H88" s="1031">
        <f t="shared" si="17"/>
        <v>0</v>
      </c>
      <c r="I88" s="356" t="e">
        <f t="shared" si="35"/>
        <v>#DIV/0!</v>
      </c>
      <c r="J88" s="5" t="e">
        <f t="shared" si="40"/>
        <v>#DIV/0!</v>
      </c>
      <c r="K88" s="35" t="e">
        <f t="shared" si="37"/>
        <v>#DIV/0!</v>
      </c>
      <c r="L88" s="1032">
        <f t="shared" si="38"/>
        <v>0</v>
      </c>
      <c r="O88" s="356" t="e">
        <f t="shared" si="41"/>
        <v>#DIV/0!</v>
      </c>
      <c r="P88" s="356">
        <f t="shared" si="41"/>
        <v>0</v>
      </c>
      <c r="Q88" s="356">
        <f t="shared" si="41"/>
        <v>0</v>
      </c>
      <c r="R88" s="356">
        <f t="shared" si="41"/>
        <v>0</v>
      </c>
      <c r="S88" s="356">
        <f t="shared" si="41"/>
        <v>0</v>
      </c>
      <c r="T88" s="356">
        <f t="shared" si="41"/>
        <v>0</v>
      </c>
      <c r="U88" s="356">
        <f t="shared" si="41"/>
        <v>0</v>
      </c>
      <c r="V88" s="356">
        <f t="shared" si="41"/>
        <v>0</v>
      </c>
      <c r="W88" s="356">
        <f t="shared" si="41"/>
        <v>0</v>
      </c>
      <c r="X88" s="356">
        <f t="shared" si="41"/>
        <v>0</v>
      </c>
      <c r="Y88" s="356">
        <f t="shared" si="41"/>
        <v>0</v>
      </c>
      <c r="Z88" s="356">
        <f t="shared" si="41"/>
        <v>0</v>
      </c>
      <c r="AA88" s="356">
        <f t="shared" si="41"/>
        <v>0</v>
      </c>
      <c r="AB88" s="356">
        <f t="shared" si="41"/>
        <v>0</v>
      </c>
      <c r="AC88" s="356">
        <f t="shared" si="41"/>
        <v>0</v>
      </c>
      <c r="AD88" s="356">
        <f t="shared" si="41"/>
        <v>0</v>
      </c>
      <c r="AE88" s="356">
        <f t="shared" si="39"/>
        <v>0</v>
      </c>
      <c r="AF88" s="356">
        <f t="shared" si="39"/>
        <v>0</v>
      </c>
      <c r="AG88" s="356">
        <f t="shared" si="39"/>
        <v>0</v>
      </c>
      <c r="AH88" s="356">
        <f t="shared" si="39"/>
        <v>0</v>
      </c>
      <c r="AI88" s="356">
        <f t="shared" si="39"/>
        <v>0</v>
      </c>
      <c r="AJ88" s="356">
        <f t="shared" si="39"/>
        <v>0</v>
      </c>
      <c r="AK88" s="356">
        <f t="shared" si="39"/>
        <v>0</v>
      </c>
      <c r="AL88" s="356">
        <f t="shared" si="39"/>
        <v>0</v>
      </c>
      <c r="AM88" s="356">
        <f t="shared" si="39"/>
        <v>0</v>
      </c>
      <c r="AN88" s="356">
        <f t="shared" si="39"/>
        <v>0</v>
      </c>
      <c r="AO88" s="356">
        <f t="shared" si="39"/>
        <v>0</v>
      </c>
      <c r="AP88" s="356">
        <f t="shared" si="39"/>
        <v>0</v>
      </c>
      <c r="AQ88" s="356">
        <f t="shared" si="39"/>
        <v>0</v>
      </c>
      <c r="AR88" s="356">
        <f t="shared" si="39"/>
        <v>0</v>
      </c>
      <c r="AS88" s="356">
        <f t="shared" si="39"/>
        <v>0</v>
      </c>
      <c r="AT88" s="356">
        <f t="shared" ref="AT88:BB115" si="43">IF($H88=AT$13,(($B88-1)/12)*SLN($D88,$E88,$F88),IF($C88=AT$13,((12-$G88)/12)*SLN($D88,$E88,$F88),IF(AND(AT$13&gt;$C88,AT$13&lt;$H88),SLN($D88,$E88,$F88),0)))</f>
        <v>0</v>
      </c>
      <c r="AU88" s="356">
        <f t="shared" si="43"/>
        <v>0</v>
      </c>
      <c r="AV88" s="356">
        <f t="shared" si="43"/>
        <v>0</v>
      </c>
      <c r="AW88" s="356">
        <f t="shared" si="43"/>
        <v>0</v>
      </c>
      <c r="AX88" s="356">
        <f t="shared" si="43"/>
        <v>0</v>
      </c>
      <c r="AY88" s="356">
        <f t="shared" si="43"/>
        <v>0</v>
      </c>
      <c r="AZ88" s="356">
        <f t="shared" si="43"/>
        <v>0</v>
      </c>
      <c r="BA88" s="356">
        <f t="shared" si="43"/>
        <v>0</v>
      </c>
      <c r="BB88" s="356">
        <f t="shared" si="43"/>
        <v>0</v>
      </c>
      <c r="BC88" s="344">
        <v>76</v>
      </c>
    </row>
    <row r="89" spans="1:55" x14ac:dyDescent="0.25">
      <c r="A89" s="1895"/>
      <c r="B89" s="1895"/>
      <c r="C89" s="2028"/>
      <c r="D89" s="1897"/>
      <c r="E89" s="1897"/>
      <c r="F89" s="1897"/>
      <c r="G89" s="358" t="str">
        <f t="shared" si="16"/>
        <v xml:space="preserve"> </v>
      </c>
      <c r="H89" s="1031">
        <f t="shared" si="17"/>
        <v>0</v>
      </c>
      <c r="I89" s="356" t="e">
        <f t="shared" si="35"/>
        <v>#DIV/0!</v>
      </c>
      <c r="J89" s="5" t="e">
        <f t="shared" si="40"/>
        <v>#DIV/0!</v>
      </c>
      <c r="K89" s="35" t="e">
        <f t="shared" si="37"/>
        <v>#DIV/0!</v>
      </c>
      <c r="L89" s="1032">
        <f t="shared" si="38"/>
        <v>0</v>
      </c>
      <c r="O89" s="356" t="e">
        <f t="shared" si="41"/>
        <v>#DIV/0!</v>
      </c>
      <c r="P89" s="356">
        <f t="shared" si="41"/>
        <v>0</v>
      </c>
      <c r="Q89" s="356">
        <f t="shared" si="41"/>
        <v>0</v>
      </c>
      <c r="R89" s="356">
        <f t="shared" si="41"/>
        <v>0</v>
      </c>
      <c r="S89" s="356">
        <f t="shared" si="41"/>
        <v>0</v>
      </c>
      <c r="T89" s="356">
        <f t="shared" si="41"/>
        <v>0</v>
      </c>
      <c r="U89" s="356">
        <f t="shared" si="41"/>
        <v>0</v>
      </c>
      <c r="V89" s="356">
        <f t="shared" si="41"/>
        <v>0</v>
      </c>
      <c r="W89" s="356">
        <f t="shared" si="41"/>
        <v>0</v>
      </c>
      <c r="X89" s="356">
        <f t="shared" si="41"/>
        <v>0</v>
      </c>
      <c r="Y89" s="356">
        <f t="shared" si="41"/>
        <v>0</v>
      </c>
      <c r="Z89" s="356">
        <f t="shared" si="41"/>
        <v>0</v>
      </c>
      <c r="AA89" s="356">
        <f t="shared" si="41"/>
        <v>0</v>
      </c>
      <c r="AB89" s="356">
        <f t="shared" si="41"/>
        <v>0</v>
      </c>
      <c r="AC89" s="356">
        <f t="shared" si="41"/>
        <v>0</v>
      </c>
      <c r="AD89" s="356">
        <f t="shared" si="41"/>
        <v>0</v>
      </c>
      <c r="AE89" s="356">
        <f t="shared" si="39"/>
        <v>0</v>
      </c>
      <c r="AF89" s="356">
        <f t="shared" si="39"/>
        <v>0</v>
      </c>
      <c r="AG89" s="356">
        <f t="shared" si="39"/>
        <v>0</v>
      </c>
      <c r="AH89" s="356">
        <f t="shared" si="39"/>
        <v>0</v>
      </c>
      <c r="AI89" s="356">
        <f t="shared" si="39"/>
        <v>0</v>
      </c>
      <c r="AJ89" s="356">
        <f t="shared" si="39"/>
        <v>0</v>
      </c>
      <c r="AK89" s="356">
        <f t="shared" si="39"/>
        <v>0</v>
      </c>
      <c r="AL89" s="356">
        <f t="shared" si="39"/>
        <v>0</v>
      </c>
      <c r="AM89" s="356">
        <f t="shared" si="39"/>
        <v>0</v>
      </c>
      <c r="AN89" s="356">
        <f t="shared" si="39"/>
        <v>0</v>
      </c>
      <c r="AO89" s="356">
        <f t="shared" si="39"/>
        <v>0</v>
      </c>
      <c r="AP89" s="356">
        <f t="shared" si="39"/>
        <v>0</v>
      </c>
      <c r="AQ89" s="356">
        <f t="shared" si="39"/>
        <v>0</v>
      </c>
      <c r="AR89" s="356">
        <f t="shared" si="39"/>
        <v>0</v>
      </c>
      <c r="AS89" s="356">
        <f t="shared" si="39"/>
        <v>0</v>
      </c>
      <c r="AT89" s="356">
        <f t="shared" si="43"/>
        <v>0</v>
      </c>
      <c r="AU89" s="356">
        <f t="shared" si="43"/>
        <v>0</v>
      </c>
      <c r="AV89" s="356">
        <f t="shared" si="43"/>
        <v>0</v>
      </c>
      <c r="AW89" s="356">
        <f t="shared" si="43"/>
        <v>0</v>
      </c>
      <c r="AX89" s="356">
        <f t="shared" si="43"/>
        <v>0</v>
      </c>
      <c r="AY89" s="356">
        <f t="shared" si="43"/>
        <v>0</v>
      </c>
      <c r="AZ89" s="356">
        <f t="shared" si="43"/>
        <v>0</v>
      </c>
      <c r="BA89" s="356">
        <f t="shared" si="43"/>
        <v>0</v>
      </c>
      <c r="BB89" s="356">
        <f t="shared" si="43"/>
        <v>0</v>
      </c>
      <c r="BC89" s="344">
        <v>77</v>
      </c>
    </row>
    <row r="90" spans="1:55" x14ac:dyDescent="0.25">
      <c r="A90" s="1895"/>
      <c r="B90" s="1895"/>
      <c r="C90" s="2028"/>
      <c r="D90" s="1897"/>
      <c r="E90" s="1897"/>
      <c r="F90" s="1897"/>
      <c r="G90" s="358" t="str">
        <f t="shared" ref="G90:G116" si="44">IF(B90-1&lt;0," ",B90-1)</f>
        <v xml:space="preserve"> </v>
      </c>
      <c r="H90" s="1031">
        <f t="shared" ref="H90:H116" si="45">C90+F90</f>
        <v>0</v>
      </c>
      <c r="I90" s="356" t="e">
        <f t="shared" si="35"/>
        <v>#DIV/0!</v>
      </c>
      <c r="J90" s="5" t="e">
        <f t="shared" si="40"/>
        <v>#DIV/0!</v>
      </c>
      <c r="K90" s="35" t="e">
        <f t="shared" si="37"/>
        <v>#DIV/0!</v>
      </c>
      <c r="L90" s="1032">
        <f t="shared" si="38"/>
        <v>0</v>
      </c>
      <c r="O90" s="356" t="e">
        <f t="shared" si="41"/>
        <v>#DIV/0!</v>
      </c>
      <c r="P90" s="356">
        <f t="shared" si="41"/>
        <v>0</v>
      </c>
      <c r="Q90" s="356">
        <f t="shared" si="41"/>
        <v>0</v>
      </c>
      <c r="R90" s="356">
        <f t="shared" si="41"/>
        <v>0</v>
      </c>
      <c r="S90" s="356">
        <f t="shared" si="41"/>
        <v>0</v>
      </c>
      <c r="T90" s="356">
        <f t="shared" si="41"/>
        <v>0</v>
      </c>
      <c r="U90" s="356">
        <f t="shared" si="41"/>
        <v>0</v>
      </c>
      <c r="V90" s="356">
        <f t="shared" si="41"/>
        <v>0</v>
      </c>
      <c r="W90" s="356">
        <f t="shared" si="41"/>
        <v>0</v>
      </c>
      <c r="X90" s="356">
        <f t="shared" si="41"/>
        <v>0</v>
      </c>
      <c r="Y90" s="356">
        <f t="shared" si="41"/>
        <v>0</v>
      </c>
      <c r="Z90" s="356">
        <f t="shared" si="41"/>
        <v>0</v>
      </c>
      <c r="AA90" s="356">
        <f t="shared" si="41"/>
        <v>0</v>
      </c>
      <c r="AB90" s="356">
        <f t="shared" si="41"/>
        <v>0</v>
      </c>
      <c r="AC90" s="356">
        <f t="shared" si="41"/>
        <v>0</v>
      </c>
      <c r="AD90" s="356">
        <f t="shared" si="41"/>
        <v>0</v>
      </c>
      <c r="AE90" s="356">
        <f t="shared" si="39"/>
        <v>0</v>
      </c>
      <c r="AF90" s="356">
        <f t="shared" si="39"/>
        <v>0</v>
      </c>
      <c r="AG90" s="356">
        <f t="shared" si="39"/>
        <v>0</v>
      </c>
      <c r="AH90" s="356">
        <f t="shared" si="39"/>
        <v>0</v>
      </c>
      <c r="AI90" s="356">
        <f t="shared" si="39"/>
        <v>0</v>
      </c>
      <c r="AJ90" s="356">
        <f t="shared" si="39"/>
        <v>0</v>
      </c>
      <c r="AK90" s="356">
        <f t="shared" si="39"/>
        <v>0</v>
      </c>
      <c r="AL90" s="356">
        <f t="shared" si="39"/>
        <v>0</v>
      </c>
      <c r="AM90" s="356">
        <f t="shared" si="39"/>
        <v>0</v>
      </c>
      <c r="AN90" s="356">
        <f t="shared" si="39"/>
        <v>0</v>
      </c>
      <c r="AO90" s="356">
        <f t="shared" si="39"/>
        <v>0</v>
      </c>
      <c r="AP90" s="356">
        <f t="shared" si="39"/>
        <v>0</v>
      </c>
      <c r="AQ90" s="356">
        <f t="shared" si="39"/>
        <v>0</v>
      </c>
      <c r="AR90" s="356">
        <f t="shared" si="39"/>
        <v>0</v>
      </c>
      <c r="AS90" s="356">
        <f t="shared" si="39"/>
        <v>0</v>
      </c>
      <c r="AT90" s="356">
        <f t="shared" si="43"/>
        <v>0</v>
      </c>
      <c r="AU90" s="356">
        <f t="shared" si="43"/>
        <v>0</v>
      </c>
      <c r="AV90" s="356">
        <f t="shared" si="43"/>
        <v>0</v>
      </c>
      <c r="AW90" s="356">
        <f t="shared" si="43"/>
        <v>0</v>
      </c>
      <c r="AX90" s="356">
        <f t="shared" si="43"/>
        <v>0</v>
      </c>
      <c r="AY90" s="356">
        <f t="shared" si="43"/>
        <v>0</v>
      </c>
      <c r="AZ90" s="356">
        <f t="shared" si="43"/>
        <v>0</v>
      </c>
      <c r="BA90" s="356">
        <f t="shared" si="43"/>
        <v>0</v>
      </c>
      <c r="BB90" s="356">
        <f t="shared" si="43"/>
        <v>0</v>
      </c>
      <c r="BC90" s="344">
        <v>78</v>
      </c>
    </row>
    <row r="91" spans="1:55" x14ac:dyDescent="0.25">
      <c r="A91" s="1895"/>
      <c r="B91" s="1895"/>
      <c r="C91" s="2028"/>
      <c r="D91" s="1897"/>
      <c r="E91" s="1897"/>
      <c r="F91" s="1897"/>
      <c r="G91" s="358" t="str">
        <f t="shared" si="44"/>
        <v xml:space="preserve"> </v>
      </c>
      <c r="H91" s="1031">
        <f t="shared" si="45"/>
        <v>0</v>
      </c>
      <c r="I91" s="356" t="e">
        <f t="shared" si="35"/>
        <v>#DIV/0!</v>
      </c>
      <c r="J91" s="5" t="e">
        <f t="shared" si="40"/>
        <v>#DIV/0!</v>
      </c>
      <c r="K91" s="35" t="e">
        <f t="shared" si="37"/>
        <v>#DIV/0!</v>
      </c>
      <c r="L91" s="1032">
        <f t="shared" si="38"/>
        <v>0</v>
      </c>
      <c r="O91" s="356" t="e">
        <f t="shared" si="41"/>
        <v>#DIV/0!</v>
      </c>
      <c r="P91" s="356">
        <f t="shared" si="41"/>
        <v>0</v>
      </c>
      <c r="Q91" s="356">
        <f t="shared" si="41"/>
        <v>0</v>
      </c>
      <c r="R91" s="356">
        <f t="shared" si="41"/>
        <v>0</v>
      </c>
      <c r="S91" s="356">
        <f t="shared" si="41"/>
        <v>0</v>
      </c>
      <c r="T91" s="356">
        <f t="shared" si="41"/>
        <v>0</v>
      </c>
      <c r="U91" s="356">
        <f t="shared" si="41"/>
        <v>0</v>
      </c>
      <c r="V91" s="356">
        <f t="shared" si="41"/>
        <v>0</v>
      </c>
      <c r="W91" s="356">
        <f t="shared" si="41"/>
        <v>0</v>
      </c>
      <c r="X91" s="356">
        <f t="shared" si="41"/>
        <v>0</v>
      </c>
      <c r="Y91" s="356">
        <f t="shared" si="41"/>
        <v>0</v>
      </c>
      <c r="Z91" s="356">
        <f t="shared" si="41"/>
        <v>0</v>
      </c>
      <c r="AA91" s="356">
        <f t="shared" si="41"/>
        <v>0</v>
      </c>
      <c r="AB91" s="356">
        <f t="shared" si="41"/>
        <v>0</v>
      </c>
      <c r="AC91" s="356">
        <f t="shared" si="41"/>
        <v>0</v>
      </c>
      <c r="AD91" s="356">
        <f t="shared" si="41"/>
        <v>0</v>
      </c>
      <c r="AE91" s="356">
        <f t="shared" si="39"/>
        <v>0</v>
      </c>
      <c r="AF91" s="356">
        <f t="shared" si="39"/>
        <v>0</v>
      </c>
      <c r="AG91" s="356">
        <f t="shared" si="39"/>
        <v>0</v>
      </c>
      <c r="AH91" s="356">
        <f t="shared" si="39"/>
        <v>0</v>
      </c>
      <c r="AI91" s="356">
        <f t="shared" si="39"/>
        <v>0</v>
      </c>
      <c r="AJ91" s="356">
        <f t="shared" si="39"/>
        <v>0</v>
      </c>
      <c r="AK91" s="356">
        <f t="shared" si="39"/>
        <v>0</v>
      </c>
      <c r="AL91" s="356">
        <f t="shared" si="39"/>
        <v>0</v>
      </c>
      <c r="AM91" s="356">
        <f t="shared" si="39"/>
        <v>0</v>
      </c>
      <c r="AN91" s="356">
        <f t="shared" si="39"/>
        <v>0</v>
      </c>
      <c r="AO91" s="356">
        <f t="shared" si="39"/>
        <v>0</v>
      </c>
      <c r="AP91" s="356">
        <f t="shared" si="39"/>
        <v>0</v>
      </c>
      <c r="AQ91" s="356">
        <f t="shared" si="39"/>
        <v>0</v>
      </c>
      <c r="AR91" s="356">
        <f t="shared" si="39"/>
        <v>0</v>
      </c>
      <c r="AS91" s="356">
        <f t="shared" si="39"/>
        <v>0</v>
      </c>
      <c r="AT91" s="356">
        <f t="shared" si="43"/>
        <v>0</v>
      </c>
      <c r="AU91" s="356">
        <f t="shared" si="43"/>
        <v>0</v>
      </c>
      <c r="AV91" s="356">
        <f t="shared" si="43"/>
        <v>0</v>
      </c>
      <c r="AW91" s="356">
        <f t="shared" si="43"/>
        <v>0</v>
      </c>
      <c r="AX91" s="356">
        <f t="shared" si="43"/>
        <v>0</v>
      </c>
      <c r="AY91" s="356">
        <f t="shared" si="43"/>
        <v>0</v>
      </c>
      <c r="AZ91" s="356">
        <f t="shared" si="43"/>
        <v>0</v>
      </c>
      <c r="BA91" s="356">
        <f t="shared" si="43"/>
        <v>0</v>
      </c>
      <c r="BB91" s="356">
        <f t="shared" si="43"/>
        <v>0</v>
      </c>
      <c r="BC91" s="344">
        <v>79</v>
      </c>
    </row>
    <row r="92" spans="1:55" x14ac:dyDescent="0.25">
      <c r="A92" s="1895"/>
      <c r="B92" s="1895"/>
      <c r="C92" s="2028"/>
      <c r="D92" s="1897"/>
      <c r="E92" s="1897"/>
      <c r="F92" s="1897"/>
      <c r="G92" s="358" t="str">
        <f t="shared" si="44"/>
        <v xml:space="preserve"> </v>
      </c>
      <c r="H92" s="1031">
        <f t="shared" si="45"/>
        <v>0</v>
      </c>
      <c r="I92" s="356" t="e">
        <f t="shared" si="35"/>
        <v>#DIV/0!</v>
      </c>
      <c r="J92" s="5" t="e">
        <f t="shared" si="40"/>
        <v>#DIV/0!</v>
      </c>
      <c r="K92" s="35" t="e">
        <f t="shared" si="37"/>
        <v>#DIV/0!</v>
      </c>
      <c r="L92" s="1032">
        <f t="shared" si="38"/>
        <v>0</v>
      </c>
      <c r="O92" s="356" t="e">
        <f t="shared" si="41"/>
        <v>#DIV/0!</v>
      </c>
      <c r="P92" s="356">
        <f t="shared" si="41"/>
        <v>0</v>
      </c>
      <c r="Q92" s="356">
        <f t="shared" si="41"/>
        <v>0</v>
      </c>
      <c r="R92" s="356">
        <f t="shared" si="41"/>
        <v>0</v>
      </c>
      <c r="S92" s="356">
        <f t="shared" si="41"/>
        <v>0</v>
      </c>
      <c r="T92" s="356">
        <f t="shared" si="41"/>
        <v>0</v>
      </c>
      <c r="U92" s="356">
        <f t="shared" si="41"/>
        <v>0</v>
      </c>
      <c r="V92" s="356">
        <f t="shared" si="41"/>
        <v>0</v>
      </c>
      <c r="W92" s="356">
        <f t="shared" si="41"/>
        <v>0</v>
      </c>
      <c r="X92" s="356">
        <f t="shared" si="41"/>
        <v>0</v>
      </c>
      <c r="Y92" s="356">
        <f t="shared" si="41"/>
        <v>0</v>
      </c>
      <c r="Z92" s="356">
        <f t="shared" si="41"/>
        <v>0</v>
      </c>
      <c r="AA92" s="356">
        <f t="shared" si="41"/>
        <v>0</v>
      </c>
      <c r="AB92" s="356">
        <f t="shared" si="41"/>
        <v>0</v>
      </c>
      <c r="AC92" s="356">
        <f t="shared" si="41"/>
        <v>0</v>
      </c>
      <c r="AD92" s="356">
        <f t="shared" si="41"/>
        <v>0</v>
      </c>
      <c r="AE92" s="356">
        <f t="shared" si="39"/>
        <v>0</v>
      </c>
      <c r="AF92" s="356">
        <f t="shared" si="39"/>
        <v>0</v>
      </c>
      <c r="AG92" s="356">
        <f t="shared" si="39"/>
        <v>0</v>
      </c>
      <c r="AH92" s="356">
        <f t="shared" si="39"/>
        <v>0</v>
      </c>
      <c r="AI92" s="356">
        <f t="shared" si="39"/>
        <v>0</v>
      </c>
      <c r="AJ92" s="356">
        <f t="shared" si="39"/>
        <v>0</v>
      </c>
      <c r="AK92" s="356">
        <f t="shared" si="39"/>
        <v>0</v>
      </c>
      <c r="AL92" s="356">
        <f t="shared" si="39"/>
        <v>0</v>
      </c>
      <c r="AM92" s="356">
        <f t="shared" si="39"/>
        <v>0</v>
      </c>
      <c r="AN92" s="356">
        <f t="shared" si="39"/>
        <v>0</v>
      </c>
      <c r="AO92" s="356">
        <f t="shared" si="39"/>
        <v>0</v>
      </c>
      <c r="AP92" s="356">
        <f t="shared" si="39"/>
        <v>0</v>
      </c>
      <c r="AQ92" s="356">
        <f t="shared" si="39"/>
        <v>0</v>
      </c>
      <c r="AR92" s="356">
        <f t="shared" si="39"/>
        <v>0</v>
      </c>
      <c r="AS92" s="356">
        <f t="shared" si="39"/>
        <v>0</v>
      </c>
      <c r="AT92" s="356">
        <f t="shared" si="43"/>
        <v>0</v>
      </c>
      <c r="AU92" s="356">
        <f t="shared" si="43"/>
        <v>0</v>
      </c>
      <c r="AV92" s="356">
        <f t="shared" si="43"/>
        <v>0</v>
      </c>
      <c r="AW92" s="356">
        <f t="shared" si="43"/>
        <v>0</v>
      </c>
      <c r="AX92" s="356">
        <f t="shared" si="43"/>
        <v>0</v>
      </c>
      <c r="AY92" s="356">
        <f t="shared" si="43"/>
        <v>0</v>
      </c>
      <c r="AZ92" s="356">
        <f t="shared" si="43"/>
        <v>0</v>
      </c>
      <c r="BA92" s="356">
        <f t="shared" si="43"/>
        <v>0</v>
      </c>
      <c r="BB92" s="356">
        <f t="shared" si="43"/>
        <v>0</v>
      </c>
      <c r="BC92" s="344">
        <v>80</v>
      </c>
    </row>
    <row r="93" spans="1:55" x14ac:dyDescent="0.25">
      <c r="A93" s="1895"/>
      <c r="B93" s="1895"/>
      <c r="C93" s="2028"/>
      <c r="D93" s="1897"/>
      <c r="E93" s="1897"/>
      <c r="F93" s="1897"/>
      <c r="G93" s="358" t="str">
        <f t="shared" si="44"/>
        <v xml:space="preserve"> </v>
      </c>
      <c r="H93" s="1031">
        <f t="shared" si="45"/>
        <v>0</v>
      </c>
      <c r="I93" s="356" t="e">
        <f t="shared" si="35"/>
        <v>#DIV/0!</v>
      </c>
      <c r="J93" s="5" t="e">
        <f t="shared" si="40"/>
        <v>#DIV/0!</v>
      </c>
      <c r="K93" s="35" t="e">
        <f t="shared" si="37"/>
        <v>#DIV/0!</v>
      </c>
      <c r="L93" s="1032">
        <f t="shared" si="38"/>
        <v>0</v>
      </c>
      <c r="O93" s="356" t="e">
        <f t="shared" si="41"/>
        <v>#DIV/0!</v>
      </c>
      <c r="P93" s="356">
        <f t="shared" si="41"/>
        <v>0</v>
      </c>
      <c r="Q93" s="356">
        <f t="shared" si="41"/>
        <v>0</v>
      </c>
      <c r="R93" s="356">
        <f t="shared" si="41"/>
        <v>0</v>
      </c>
      <c r="S93" s="356">
        <f t="shared" si="41"/>
        <v>0</v>
      </c>
      <c r="T93" s="356">
        <f t="shared" si="41"/>
        <v>0</v>
      </c>
      <c r="U93" s="356">
        <f t="shared" si="41"/>
        <v>0</v>
      </c>
      <c r="V93" s="356">
        <f t="shared" si="41"/>
        <v>0</v>
      </c>
      <c r="W93" s="356">
        <f t="shared" si="41"/>
        <v>0</v>
      </c>
      <c r="X93" s="356">
        <f t="shared" si="41"/>
        <v>0</v>
      </c>
      <c r="Y93" s="356">
        <f t="shared" si="41"/>
        <v>0</v>
      </c>
      <c r="Z93" s="356">
        <f t="shared" si="41"/>
        <v>0</v>
      </c>
      <c r="AA93" s="356">
        <f t="shared" si="41"/>
        <v>0</v>
      </c>
      <c r="AB93" s="356">
        <f t="shared" si="41"/>
        <v>0</v>
      </c>
      <c r="AC93" s="356">
        <f t="shared" si="41"/>
        <v>0</v>
      </c>
      <c r="AD93" s="356">
        <f t="shared" si="41"/>
        <v>0</v>
      </c>
      <c r="AE93" s="356">
        <f t="shared" si="39"/>
        <v>0</v>
      </c>
      <c r="AF93" s="356">
        <f t="shared" si="39"/>
        <v>0</v>
      </c>
      <c r="AG93" s="356">
        <f t="shared" si="39"/>
        <v>0</v>
      </c>
      <c r="AH93" s="356">
        <f t="shared" si="39"/>
        <v>0</v>
      </c>
      <c r="AI93" s="356">
        <f t="shared" si="39"/>
        <v>0</v>
      </c>
      <c r="AJ93" s="356">
        <f t="shared" si="39"/>
        <v>0</v>
      </c>
      <c r="AK93" s="356">
        <f t="shared" si="39"/>
        <v>0</v>
      </c>
      <c r="AL93" s="356">
        <f t="shared" si="39"/>
        <v>0</v>
      </c>
      <c r="AM93" s="356">
        <f t="shared" si="39"/>
        <v>0</v>
      </c>
      <c r="AN93" s="356">
        <f t="shared" si="39"/>
        <v>0</v>
      </c>
      <c r="AO93" s="356">
        <f t="shared" si="39"/>
        <v>0</v>
      </c>
      <c r="AP93" s="356">
        <f t="shared" si="39"/>
        <v>0</v>
      </c>
      <c r="AQ93" s="356">
        <f t="shared" si="39"/>
        <v>0</v>
      </c>
      <c r="AR93" s="356">
        <f t="shared" si="39"/>
        <v>0</v>
      </c>
      <c r="AS93" s="356">
        <f t="shared" si="39"/>
        <v>0</v>
      </c>
      <c r="AT93" s="356">
        <f t="shared" si="43"/>
        <v>0</v>
      </c>
      <c r="AU93" s="356">
        <f t="shared" si="43"/>
        <v>0</v>
      </c>
      <c r="AV93" s="356">
        <f t="shared" si="43"/>
        <v>0</v>
      </c>
      <c r="AW93" s="356">
        <f t="shared" si="43"/>
        <v>0</v>
      </c>
      <c r="AX93" s="356">
        <f t="shared" si="43"/>
        <v>0</v>
      </c>
      <c r="AY93" s="356">
        <f t="shared" si="43"/>
        <v>0</v>
      </c>
      <c r="AZ93" s="356">
        <f t="shared" si="43"/>
        <v>0</v>
      </c>
      <c r="BA93" s="356">
        <f t="shared" si="43"/>
        <v>0</v>
      </c>
      <c r="BB93" s="356">
        <f t="shared" si="43"/>
        <v>0</v>
      </c>
      <c r="BC93" s="344">
        <v>81</v>
      </c>
    </row>
    <row r="94" spans="1:55" x14ac:dyDescent="0.25">
      <c r="A94" s="1895"/>
      <c r="B94" s="1895"/>
      <c r="C94" s="2028"/>
      <c r="D94" s="1897"/>
      <c r="E94" s="1897"/>
      <c r="F94" s="1897"/>
      <c r="G94" s="358" t="str">
        <f t="shared" si="44"/>
        <v xml:space="preserve"> </v>
      </c>
      <c r="H94" s="1031">
        <f t="shared" si="45"/>
        <v>0</v>
      </c>
      <c r="I94" s="356" t="e">
        <f t="shared" si="35"/>
        <v>#DIV/0!</v>
      </c>
      <c r="J94" s="5" t="e">
        <f t="shared" si="40"/>
        <v>#DIV/0!</v>
      </c>
      <c r="K94" s="35" t="e">
        <f t="shared" si="37"/>
        <v>#DIV/0!</v>
      </c>
      <c r="L94" s="1032">
        <f t="shared" si="38"/>
        <v>0</v>
      </c>
      <c r="O94" s="356" t="e">
        <f t="shared" si="41"/>
        <v>#DIV/0!</v>
      </c>
      <c r="P94" s="356">
        <f t="shared" si="41"/>
        <v>0</v>
      </c>
      <c r="Q94" s="356">
        <f t="shared" si="41"/>
        <v>0</v>
      </c>
      <c r="R94" s="356">
        <f t="shared" si="41"/>
        <v>0</v>
      </c>
      <c r="S94" s="356">
        <f t="shared" si="41"/>
        <v>0</v>
      </c>
      <c r="T94" s="356">
        <f t="shared" si="41"/>
        <v>0</v>
      </c>
      <c r="U94" s="356">
        <f t="shared" si="41"/>
        <v>0</v>
      </c>
      <c r="V94" s="356">
        <f t="shared" si="41"/>
        <v>0</v>
      </c>
      <c r="W94" s="356">
        <f t="shared" si="41"/>
        <v>0</v>
      </c>
      <c r="X94" s="356">
        <f t="shared" si="41"/>
        <v>0</v>
      </c>
      <c r="Y94" s="356">
        <f t="shared" si="41"/>
        <v>0</v>
      </c>
      <c r="Z94" s="356">
        <f t="shared" si="41"/>
        <v>0</v>
      </c>
      <c r="AA94" s="356">
        <f t="shared" si="41"/>
        <v>0</v>
      </c>
      <c r="AB94" s="356">
        <f t="shared" si="41"/>
        <v>0</v>
      </c>
      <c r="AC94" s="356">
        <f t="shared" si="41"/>
        <v>0</v>
      </c>
      <c r="AD94" s="356">
        <f t="shared" si="41"/>
        <v>0</v>
      </c>
      <c r="AE94" s="356">
        <f t="shared" si="39"/>
        <v>0</v>
      </c>
      <c r="AF94" s="356">
        <f t="shared" si="39"/>
        <v>0</v>
      </c>
      <c r="AG94" s="356">
        <f t="shared" si="39"/>
        <v>0</v>
      </c>
      <c r="AH94" s="356">
        <f t="shared" si="39"/>
        <v>0</v>
      </c>
      <c r="AI94" s="356">
        <f t="shared" si="39"/>
        <v>0</v>
      </c>
      <c r="AJ94" s="356">
        <f t="shared" si="39"/>
        <v>0</v>
      </c>
      <c r="AK94" s="356">
        <f t="shared" si="39"/>
        <v>0</v>
      </c>
      <c r="AL94" s="356">
        <f t="shared" si="39"/>
        <v>0</v>
      </c>
      <c r="AM94" s="356">
        <f t="shared" si="39"/>
        <v>0</v>
      </c>
      <c r="AN94" s="356">
        <f t="shared" si="39"/>
        <v>0</v>
      </c>
      <c r="AO94" s="356">
        <f t="shared" si="39"/>
        <v>0</v>
      </c>
      <c r="AP94" s="356">
        <f t="shared" si="39"/>
        <v>0</v>
      </c>
      <c r="AQ94" s="356">
        <f t="shared" si="39"/>
        <v>0</v>
      </c>
      <c r="AR94" s="356">
        <f t="shared" si="39"/>
        <v>0</v>
      </c>
      <c r="AS94" s="356">
        <f t="shared" si="39"/>
        <v>0</v>
      </c>
      <c r="AT94" s="356">
        <f t="shared" si="43"/>
        <v>0</v>
      </c>
      <c r="AU94" s="356">
        <f t="shared" si="43"/>
        <v>0</v>
      </c>
      <c r="AV94" s="356">
        <f t="shared" si="43"/>
        <v>0</v>
      </c>
      <c r="AW94" s="356">
        <f t="shared" si="43"/>
        <v>0</v>
      </c>
      <c r="AX94" s="356">
        <f t="shared" si="43"/>
        <v>0</v>
      </c>
      <c r="AY94" s="356">
        <f t="shared" si="43"/>
        <v>0</v>
      </c>
      <c r="AZ94" s="356">
        <f t="shared" si="43"/>
        <v>0</v>
      </c>
      <c r="BA94" s="356">
        <f t="shared" si="43"/>
        <v>0</v>
      </c>
      <c r="BB94" s="356">
        <f t="shared" si="43"/>
        <v>0</v>
      </c>
      <c r="BC94" s="344">
        <v>82</v>
      </c>
    </row>
    <row r="95" spans="1:55" x14ac:dyDescent="0.25">
      <c r="A95" s="1895"/>
      <c r="B95" s="1895"/>
      <c r="C95" s="2028"/>
      <c r="D95" s="1897"/>
      <c r="E95" s="1897"/>
      <c r="F95" s="1897"/>
      <c r="G95" s="358" t="str">
        <f t="shared" si="44"/>
        <v xml:space="preserve"> </v>
      </c>
      <c r="H95" s="1031">
        <f t="shared" si="45"/>
        <v>0</v>
      </c>
      <c r="I95" s="356" t="e">
        <f t="shared" si="35"/>
        <v>#DIV/0!</v>
      </c>
      <c r="J95" s="5" t="e">
        <f t="shared" si="40"/>
        <v>#DIV/0!</v>
      </c>
      <c r="K95" s="35" t="e">
        <f t="shared" si="37"/>
        <v>#DIV/0!</v>
      </c>
      <c r="L95" s="1032">
        <f t="shared" si="38"/>
        <v>0</v>
      </c>
      <c r="O95" s="356" t="e">
        <f t="shared" si="41"/>
        <v>#DIV/0!</v>
      </c>
      <c r="P95" s="356">
        <f t="shared" si="41"/>
        <v>0</v>
      </c>
      <c r="Q95" s="356">
        <f t="shared" si="41"/>
        <v>0</v>
      </c>
      <c r="R95" s="356">
        <f t="shared" si="41"/>
        <v>0</v>
      </c>
      <c r="S95" s="356">
        <f t="shared" si="41"/>
        <v>0</v>
      </c>
      <c r="T95" s="356">
        <f t="shared" si="41"/>
        <v>0</v>
      </c>
      <c r="U95" s="356">
        <f t="shared" si="41"/>
        <v>0</v>
      </c>
      <c r="V95" s="356">
        <f t="shared" si="41"/>
        <v>0</v>
      </c>
      <c r="W95" s="356">
        <f t="shared" si="41"/>
        <v>0</v>
      </c>
      <c r="X95" s="356">
        <f t="shared" si="41"/>
        <v>0</v>
      </c>
      <c r="Y95" s="356">
        <f t="shared" si="41"/>
        <v>0</v>
      </c>
      <c r="Z95" s="356">
        <f t="shared" si="41"/>
        <v>0</v>
      </c>
      <c r="AA95" s="356">
        <f t="shared" si="41"/>
        <v>0</v>
      </c>
      <c r="AB95" s="356">
        <f t="shared" si="41"/>
        <v>0</v>
      </c>
      <c r="AC95" s="356">
        <f t="shared" si="41"/>
        <v>0</v>
      </c>
      <c r="AD95" s="356">
        <f t="shared" si="41"/>
        <v>0</v>
      </c>
      <c r="AE95" s="356">
        <f t="shared" si="39"/>
        <v>0</v>
      </c>
      <c r="AF95" s="356">
        <f t="shared" si="39"/>
        <v>0</v>
      </c>
      <c r="AG95" s="356">
        <f t="shared" si="39"/>
        <v>0</v>
      </c>
      <c r="AH95" s="356">
        <f t="shared" si="39"/>
        <v>0</v>
      </c>
      <c r="AI95" s="356">
        <f t="shared" si="39"/>
        <v>0</v>
      </c>
      <c r="AJ95" s="356">
        <f t="shared" si="39"/>
        <v>0</v>
      </c>
      <c r="AK95" s="356">
        <f t="shared" si="39"/>
        <v>0</v>
      </c>
      <c r="AL95" s="356">
        <f t="shared" si="39"/>
        <v>0</v>
      </c>
      <c r="AM95" s="356">
        <f t="shared" si="39"/>
        <v>0</v>
      </c>
      <c r="AN95" s="356">
        <f t="shared" si="39"/>
        <v>0</v>
      </c>
      <c r="AO95" s="356">
        <f t="shared" si="39"/>
        <v>0</v>
      </c>
      <c r="AP95" s="356">
        <f t="shared" si="39"/>
        <v>0</v>
      </c>
      <c r="AQ95" s="356">
        <f t="shared" si="39"/>
        <v>0</v>
      </c>
      <c r="AR95" s="356">
        <f t="shared" si="39"/>
        <v>0</v>
      </c>
      <c r="AS95" s="356">
        <f t="shared" si="39"/>
        <v>0</v>
      </c>
      <c r="AT95" s="356">
        <f t="shared" si="43"/>
        <v>0</v>
      </c>
      <c r="AU95" s="356">
        <f t="shared" si="43"/>
        <v>0</v>
      </c>
      <c r="AV95" s="356">
        <f t="shared" si="43"/>
        <v>0</v>
      </c>
      <c r="AW95" s="356">
        <f t="shared" si="43"/>
        <v>0</v>
      </c>
      <c r="AX95" s="356">
        <f t="shared" si="43"/>
        <v>0</v>
      </c>
      <c r="AY95" s="356">
        <f t="shared" si="43"/>
        <v>0</v>
      </c>
      <c r="AZ95" s="356">
        <f t="shared" si="43"/>
        <v>0</v>
      </c>
      <c r="BA95" s="356">
        <f t="shared" si="43"/>
        <v>0</v>
      </c>
      <c r="BB95" s="356">
        <f t="shared" si="43"/>
        <v>0</v>
      </c>
      <c r="BC95" s="344">
        <v>83</v>
      </c>
    </row>
    <row r="96" spans="1:55" x14ac:dyDescent="0.25">
      <c r="A96" s="1895"/>
      <c r="B96" s="1895"/>
      <c r="C96" s="2028"/>
      <c r="D96" s="1897"/>
      <c r="E96" s="1897"/>
      <c r="F96" s="1897"/>
      <c r="G96" s="358" t="str">
        <f t="shared" si="44"/>
        <v xml:space="preserve"> </v>
      </c>
      <c r="H96" s="1031">
        <f t="shared" si="45"/>
        <v>0</v>
      </c>
      <c r="I96" s="356" t="e">
        <f t="shared" si="35"/>
        <v>#DIV/0!</v>
      </c>
      <c r="J96" s="5" t="e">
        <f t="shared" si="40"/>
        <v>#DIV/0!</v>
      </c>
      <c r="K96" s="35" t="e">
        <f t="shared" si="37"/>
        <v>#DIV/0!</v>
      </c>
      <c r="L96" s="1032">
        <f t="shared" si="38"/>
        <v>0</v>
      </c>
      <c r="O96" s="356" t="e">
        <f t="shared" si="41"/>
        <v>#DIV/0!</v>
      </c>
      <c r="P96" s="356">
        <f t="shared" si="41"/>
        <v>0</v>
      </c>
      <c r="Q96" s="356">
        <f t="shared" si="41"/>
        <v>0</v>
      </c>
      <c r="R96" s="356">
        <f t="shared" si="41"/>
        <v>0</v>
      </c>
      <c r="S96" s="356">
        <f t="shared" si="41"/>
        <v>0</v>
      </c>
      <c r="T96" s="356">
        <f t="shared" si="41"/>
        <v>0</v>
      </c>
      <c r="U96" s="356">
        <f t="shared" si="41"/>
        <v>0</v>
      </c>
      <c r="V96" s="356">
        <f t="shared" si="41"/>
        <v>0</v>
      </c>
      <c r="W96" s="356">
        <f t="shared" si="41"/>
        <v>0</v>
      </c>
      <c r="X96" s="356">
        <f t="shared" si="41"/>
        <v>0</v>
      </c>
      <c r="Y96" s="356">
        <f t="shared" si="41"/>
        <v>0</v>
      </c>
      <c r="Z96" s="356">
        <f t="shared" si="41"/>
        <v>0</v>
      </c>
      <c r="AA96" s="356">
        <f t="shared" si="41"/>
        <v>0</v>
      </c>
      <c r="AB96" s="356">
        <f t="shared" si="41"/>
        <v>0</v>
      </c>
      <c r="AC96" s="356">
        <f t="shared" si="41"/>
        <v>0</v>
      </c>
      <c r="AD96" s="356">
        <f t="shared" si="41"/>
        <v>0</v>
      </c>
      <c r="AE96" s="356">
        <f t="shared" si="39"/>
        <v>0</v>
      </c>
      <c r="AF96" s="356">
        <f t="shared" si="39"/>
        <v>0</v>
      </c>
      <c r="AG96" s="356">
        <f t="shared" si="39"/>
        <v>0</v>
      </c>
      <c r="AH96" s="356">
        <f t="shared" si="39"/>
        <v>0</v>
      </c>
      <c r="AI96" s="356">
        <f t="shared" si="39"/>
        <v>0</v>
      </c>
      <c r="AJ96" s="356">
        <f t="shared" si="39"/>
        <v>0</v>
      </c>
      <c r="AK96" s="356">
        <f t="shared" si="39"/>
        <v>0</v>
      </c>
      <c r="AL96" s="356">
        <f t="shared" si="39"/>
        <v>0</v>
      </c>
      <c r="AM96" s="356">
        <f t="shared" si="39"/>
        <v>0</v>
      </c>
      <c r="AN96" s="356">
        <f t="shared" si="39"/>
        <v>0</v>
      </c>
      <c r="AO96" s="356">
        <f t="shared" si="39"/>
        <v>0</v>
      </c>
      <c r="AP96" s="356">
        <f t="shared" si="39"/>
        <v>0</v>
      </c>
      <c r="AQ96" s="356">
        <f t="shared" si="39"/>
        <v>0</v>
      </c>
      <c r="AR96" s="356">
        <f t="shared" si="39"/>
        <v>0</v>
      </c>
      <c r="AS96" s="356">
        <f t="shared" si="39"/>
        <v>0</v>
      </c>
      <c r="AT96" s="356">
        <f t="shared" si="43"/>
        <v>0</v>
      </c>
      <c r="AU96" s="356">
        <f t="shared" si="43"/>
        <v>0</v>
      </c>
      <c r="AV96" s="356">
        <f t="shared" si="43"/>
        <v>0</v>
      </c>
      <c r="AW96" s="356">
        <f t="shared" si="43"/>
        <v>0</v>
      </c>
      <c r="AX96" s="356">
        <f t="shared" si="43"/>
        <v>0</v>
      </c>
      <c r="AY96" s="356">
        <f t="shared" si="43"/>
        <v>0</v>
      </c>
      <c r="AZ96" s="356">
        <f t="shared" si="43"/>
        <v>0</v>
      </c>
      <c r="BA96" s="356">
        <f t="shared" si="43"/>
        <v>0</v>
      </c>
      <c r="BB96" s="356">
        <f t="shared" si="43"/>
        <v>0</v>
      </c>
      <c r="BC96" s="344">
        <v>84</v>
      </c>
    </row>
    <row r="97" spans="1:55" x14ac:dyDescent="0.25">
      <c r="A97" s="1895"/>
      <c r="B97" s="1895"/>
      <c r="C97" s="2028"/>
      <c r="D97" s="1897"/>
      <c r="E97" s="1897"/>
      <c r="F97" s="1897"/>
      <c r="G97" s="358" t="str">
        <f t="shared" si="44"/>
        <v xml:space="preserve"> </v>
      </c>
      <c r="H97" s="1031">
        <f t="shared" si="45"/>
        <v>0</v>
      </c>
      <c r="I97" s="356" t="e">
        <f t="shared" si="35"/>
        <v>#DIV/0!</v>
      </c>
      <c r="J97" s="5" t="e">
        <f t="shared" si="40"/>
        <v>#DIV/0!</v>
      </c>
      <c r="K97" s="35" t="e">
        <f t="shared" si="37"/>
        <v>#DIV/0!</v>
      </c>
      <c r="L97" s="1032">
        <f t="shared" si="38"/>
        <v>0</v>
      </c>
      <c r="O97" s="356" t="e">
        <f t="shared" si="41"/>
        <v>#DIV/0!</v>
      </c>
      <c r="P97" s="356">
        <f t="shared" si="41"/>
        <v>0</v>
      </c>
      <c r="Q97" s="356">
        <f t="shared" si="41"/>
        <v>0</v>
      </c>
      <c r="R97" s="356">
        <f t="shared" si="41"/>
        <v>0</v>
      </c>
      <c r="S97" s="356">
        <f t="shared" si="41"/>
        <v>0</v>
      </c>
      <c r="T97" s="356">
        <f t="shared" si="41"/>
        <v>0</v>
      </c>
      <c r="U97" s="356">
        <f t="shared" si="41"/>
        <v>0</v>
      </c>
      <c r="V97" s="356">
        <f t="shared" si="41"/>
        <v>0</v>
      </c>
      <c r="W97" s="356">
        <f t="shared" si="41"/>
        <v>0</v>
      </c>
      <c r="X97" s="356">
        <f t="shared" si="41"/>
        <v>0</v>
      </c>
      <c r="Y97" s="356">
        <f t="shared" si="41"/>
        <v>0</v>
      </c>
      <c r="Z97" s="356">
        <f t="shared" si="41"/>
        <v>0</v>
      </c>
      <c r="AA97" s="356">
        <f t="shared" si="41"/>
        <v>0</v>
      </c>
      <c r="AB97" s="356">
        <f t="shared" si="41"/>
        <v>0</v>
      </c>
      <c r="AC97" s="356">
        <f t="shared" si="41"/>
        <v>0</v>
      </c>
      <c r="AD97" s="356">
        <f t="shared" si="41"/>
        <v>0</v>
      </c>
      <c r="AE97" s="356">
        <f t="shared" si="39"/>
        <v>0</v>
      </c>
      <c r="AF97" s="356">
        <f t="shared" si="39"/>
        <v>0</v>
      </c>
      <c r="AG97" s="356">
        <f t="shared" si="39"/>
        <v>0</v>
      </c>
      <c r="AH97" s="356">
        <f t="shared" si="39"/>
        <v>0</v>
      </c>
      <c r="AI97" s="356">
        <f t="shared" si="39"/>
        <v>0</v>
      </c>
      <c r="AJ97" s="356">
        <f t="shared" si="39"/>
        <v>0</v>
      </c>
      <c r="AK97" s="356">
        <f t="shared" si="39"/>
        <v>0</v>
      </c>
      <c r="AL97" s="356">
        <f t="shared" si="39"/>
        <v>0</v>
      </c>
      <c r="AM97" s="356">
        <f t="shared" si="39"/>
        <v>0</v>
      </c>
      <c r="AN97" s="356">
        <f t="shared" si="39"/>
        <v>0</v>
      </c>
      <c r="AO97" s="356">
        <f t="shared" si="39"/>
        <v>0</v>
      </c>
      <c r="AP97" s="356">
        <f t="shared" si="39"/>
        <v>0</v>
      </c>
      <c r="AQ97" s="356">
        <f t="shared" si="39"/>
        <v>0</v>
      </c>
      <c r="AR97" s="356">
        <f t="shared" si="39"/>
        <v>0</v>
      </c>
      <c r="AS97" s="356">
        <f t="shared" si="39"/>
        <v>0</v>
      </c>
      <c r="AT97" s="356">
        <f t="shared" si="43"/>
        <v>0</v>
      </c>
      <c r="AU97" s="356">
        <f t="shared" si="43"/>
        <v>0</v>
      </c>
      <c r="AV97" s="356">
        <f t="shared" si="43"/>
        <v>0</v>
      </c>
      <c r="AW97" s="356">
        <f t="shared" si="43"/>
        <v>0</v>
      </c>
      <c r="AX97" s="356">
        <f t="shared" si="43"/>
        <v>0</v>
      </c>
      <c r="AY97" s="356">
        <f t="shared" si="43"/>
        <v>0</v>
      </c>
      <c r="AZ97" s="356">
        <f t="shared" si="43"/>
        <v>0</v>
      </c>
      <c r="BA97" s="356">
        <f t="shared" si="43"/>
        <v>0</v>
      </c>
      <c r="BB97" s="356">
        <f t="shared" si="43"/>
        <v>0</v>
      </c>
      <c r="BC97" s="344">
        <v>85</v>
      </c>
    </row>
    <row r="98" spans="1:55" ht="37.5" x14ac:dyDescent="0.25">
      <c r="A98" s="351" t="s">
        <v>534</v>
      </c>
      <c r="B98" s="352"/>
      <c r="C98" s="596"/>
      <c r="D98" s="353">
        <f>SUM(D99:D116)</f>
        <v>0</v>
      </c>
      <c r="E98" s="354"/>
      <c r="F98" s="355"/>
      <c r="G98" s="355"/>
      <c r="H98" s="355"/>
      <c r="I98" s="599" t="e">
        <f>SUM(I99:I116)</f>
        <v>#DIV/0!</v>
      </c>
      <c r="J98" s="353" t="e">
        <f>SUM(J99:J116)</f>
        <v>#DIV/0!</v>
      </c>
      <c r="K98" s="598" t="e">
        <f>SUM(K99:K116)</f>
        <v>#DIV/0!</v>
      </c>
      <c r="L98" s="1033"/>
      <c r="O98" s="356" t="e">
        <f t="shared" si="41"/>
        <v>#DIV/0!</v>
      </c>
      <c r="P98" s="356">
        <f t="shared" si="41"/>
        <v>0</v>
      </c>
      <c r="Q98" s="356">
        <f t="shared" si="41"/>
        <v>0</v>
      </c>
      <c r="R98" s="356">
        <f t="shared" si="41"/>
        <v>0</v>
      </c>
      <c r="S98" s="356">
        <f t="shared" si="41"/>
        <v>0</v>
      </c>
      <c r="T98" s="356">
        <f t="shared" si="41"/>
        <v>0</v>
      </c>
      <c r="U98" s="356">
        <f t="shared" si="41"/>
        <v>0</v>
      </c>
      <c r="V98" s="356">
        <f t="shared" si="41"/>
        <v>0</v>
      </c>
      <c r="W98" s="356">
        <f t="shared" si="41"/>
        <v>0</v>
      </c>
      <c r="X98" s="356">
        <f t="shared" si="41"/>
        <v>0</v>
      </c>
      <c r="Y98" s="356">
        <f t="shared" si="41"/>
        <v>0</v>
      </c>
      <c r="Z98" s="356">
        <f t="shared" si="41"/>
        <v>0</v>
      </c>
      <c r="AA98" s="356">
        <f t="shared" si="41"/>
        <v>0</v>
      </c>
      <c r="AB98" s="356">
        <f t="shared" si="41"/>
        <v>0</v>
      </c>
      <c r="AC98" s="356">
        <f t="shared" si="41"/>
        <v>0</v>
      </c>
      <c r="AD98" s="356">
        <f t="shared" si="41"/>
        <v>0</v>
      </c>
      <c r="AE98" s="356">
        <f t="shared" si="39"/>
        <v>0</v>
      </c>
      <c r="AF98" s="356">
        <f t="shared" si="39"/>
        <v>0</v>
      </c>
      <c r="AG98" s="356">
        <f t="shared" si="39"/>
        <v>0</v>
      </c>
      <c r="AH98" s="356">
        <f t="shared" si="39"/>
        <v>0</v>
      </c>
      <c r="AI98" s="356">
        <f t="shared" si="39"/>
        <v>0</v>
      </c>
      <c r="AJ98" s="356">
        <f t="shared" si="39"/>
        <v>0</v>
      </c>
      <c r="AK98" s="356">
        <f t="shared" si="39"/>
        <v>0</v>
      </c>
      <c r="AL98" s="356">
        <f t="shared" si="39"/>
        <v>0</v>
      </c>
      <c r="AM98" s="356">
        <f t="shared" si="39"/>
        <v>0</v>
      </c>
      <c r="AN98" s="356">
        <f t="shared" si="39"/>
        <v>0</v>
      </c>
      <c r="AO98" s="356">
        <f t="shared" si="39"/>
        <v>0</v>
      </c>
      <c r="AP98" s="356">
        <f t="shared" si="39"/>
        <v>0</v>
      </c>
      <c r="AQ98" s="356">
        <f t="shared" si="39"/>
        <v>0</v>
      </c>
      <c r="AR98" s="356">
        <f t="shared" si="39"/>
        <v>0</v>
      </c>
      <c r="AS98" s="356">
        <f t="shared" si="39"/>
        <v>0</v>
      </c>
      <c r="AT98" s="356">
        <f t="shared" si="43"/>
        <v>0</v>
      </c>
      <c r="AU98" s="356">
        <f t="shared" si="43"/>
        <v>0</v>
      </c>
      <c r="AV98" s="356">
        <f t="shared" si="43"/>
        <v>0</v>
      </c>
      <c r="AW98" s="356">
        <f t="shared" si="43"/>
        <v>0</v>
      </c>
      <c r="AX98" s="356">
        <f t="shared" si="43"/>
        <v>0</v>
      </c>
      <c r="AY98" s="356">
        <f t="shared" si="43"/>
        <v>0</v>
      </c>
      <c r="AZ98" s="356">
        <f t="shared" si="43"/>
        <v>0</v>
      </c>
      <c r="BA98" s="356">
        <f t="shared" si="43"/>
        <v>0</v>
      </c>
      <c r="BB98" s="356">
        <f t="shared" si="43"/>
        <v>0</v>
      </c>
      <c r="BC98" s="344">
        <v>86</v>
      </c>
    </row>
    <row r="99" spans="1:55" x14ac:dyDescent="0.25">
      <c r="A99" s="1895"/>
      <c r="B99" s="1895"/>
      <c r="C99" s="2028"/>
      <c r="D99" s="1897"/>
      <c r="E99" s="1897"/>
      <c r="F99" s="1897"/>
      <c r="G99" s="358" t="str">
        <f t="shared" si="44"/>
        <v xml:space="preserve"> </v>
      </c>
      <c r="H99" s="1031">
        <f t="shared" si="45"/>
        <v>0</v>
      </c>
      <c r="I99" s="356" t="e">
        <f t="shared" ref="I99:I116" si="46">HLOOKUP($B$11,$O$13:$BB$116,BC99,FALSE)</f>
        <v>#DIV/0!</v>
      </c>
      <c r="J99" s="5" t="e">
        <f t="shared" si="40"/>
        <v>#DIV/0!</v>
      </c>
      <c r="K99" s="35" t="e">
        <f t="shared" ref="K99:K116" si="47">IF(C99&gt;$B$11,0,D99-J99)</f>
        <v>#DIV/0!</v>
      </c>
      <c r="L99" s="203"/>
      <c r="O99" s="356" t="e">
        <f t="shared" si="41"/>
        <v>#DIV/0!</v>
      </c>
      <c r="P99" s="356">
        <f t="shared" si="41"/>
        <v>0</v>
      </c>
      <c r="Q99" s="356">
        <f t="shared" si="41"/>
        <v>0</v>
      </c>
      <c r="R99" s="356">
        <f t="shared" si="41"/>
        <v>0</v>
      </c>
      <c r="S99" s="356">
        <f t="shared" si="41"/>
        <v>0</v>
      </c>
      <c r="T99" s="356">
        <f t="shared" si="41"/>
        <v>0</v>
      </c>
      <c r="U99" s="356">
        <f t="shared" si="41"/>
        <v>0</v>
      </c>
      <c r="V99" s="356">
        <f t="shared" si="41"/>
        <v>0</v>
      </c>
      <c r="W99" s="356">
        <f t="shared" si="41"/>
        <v>0</v>
      </c>
      <c r="X99" s="356">
        <f t="shared" si="41"/>
        <v>0</v>
      </c>
      <c r="Y99" s="356">
        <f t="shared" si="41"/>
        <v>0</v>
      </c>
      <c r="Z99" s="356">
        <f t="shared" si="41"/>
        <v>0</v>
      </c>
      <c r="AA99" s="356">
        <f t="shared" si="41"/>
        <v>0</v>
      </c>
      <c r="AB99" s="356">
        <f t="shared" si="41"/>
        <v>0</v>
      </c>
      <c r="AC99" s="356">
        <f t="shared" si="41"/>
        <v>0</v>
      </c>
      <c r="AD99" s="356">
        <f t="shared" si="41"/>
        <v>0</v>
      </c>
      <c r="AE99" s="356">
        <f t="shared" si="39"/>
        <v>0</v>
      </c>
      <c r="AF99" s="356">
        <f t="shared" si="39"/>
        <v>0</v>
      </c>
      <c r="AG99" s="356">
        <f t="shared" si="39"/>
        <v>0</v>
      </c>
      <c r="AH99" s="356">
        <f t="shared" si="39"/>
        <v>0</v>
      </c>
      <c r="AI99" s="356">
        <f t="shared" si="39"/>
        <v>0</v>
      </c>
      <c r="AJ99" s="356">
        <f t="shared" si="39"/>
        <v>0</v>
      </c>
      <c r="AK99" s="356">
        <f t="shared" si="39"/>
        <v>0</v>
      </c>
      <c r="AL99" s="356">
        <f t="shared" si="39"/>
        <v>0</v>
      </c>
      <c r="AM99" s="356">
        <f t="shared" si="39"/>
        <v>0</v>
      </c>
      <c r="AN99" s="356">
        <f t="shared" si="39"/>
        <v>0</v>
      </c>
      <c r="AO99" s="356">
        <f t="shared" si="39"/>
        <v>0</v>
      </c>
      <c r="AP99" s="356">
        <f t="shared" si="39"/>
        <v>0</v>
      </c>
      <c r="AQ99" s="356">
        <f t="shared" si="39"/>
        <v>0</v>
      </c>
      <c r="AR99" s="356">
        <f t="shared" si="39"/>
        <v>0</v>
      </c>
      <c r="AS99" s="356">
        <f t="shared" si="39"/>
        <v>0</v>
      </c>
      <c r="AT99" s="356">
        <f t="shared" si="43"/>
        <v>0</v>
      </c>
      <c r="AU99" s="356">
        <f t="shared" si="43"/>
        <v>0</v>
      </c>
      <c r="AV99" s="356">
        <f t="shared" si="43"/>
        <v>0</v>
      </c>
      <c r="AW99" s="356">
        <f t="shared" si="43"/>
        <v>0</v>
      </c>
      <c r="AX99" s="356">
        <f t="shared" si="43"/>
        <v>0</v>
      </c>
      <c r="AY99" s="356">
        <f t="shared" si="43"/>
        <v>0</v>
      </c>
      <c r="AZ99" s="356">
        <f t="shared" si="43"/>
        <v>0</v>
      </c>
      <c r="BA99" s="356">
        <f t="shared" si="43"/>
        <v>0</v>
      </c>
      <c r="BB99" s="356">
        <f t="shared" si="43"/>
        <v>0</v>
      </c>
      <c r="BC99" s="344">
        <v>87</v>
      </c>
    </row>
    <row r="100" spans="1:55" x14ac:dyDescent="0.25">
      <c r="A100" s="1895"/>
      <c r="B100" s="1895"/>
      <c r="C100" s="2028"/>
      <c r="D100" s="1897"/>
      <c r="E100" s="1897"/>
      <c r="F100" s="1897"/>
      <c r="G100" s="358" t="str">
        <f t="shared" si="44"/>
        <v xml:space="preserve"> </v>
      </c>
      <c r="H100" s="1031">
        <f t="shared" si="45"/>
        <v>0</v>
      </c>
      <c r="I100" s="356" t="e">
        <f t="shared" si="46"/>
        <v>#DIV/0!</v>
      </c>
      <c r="J100" s="5" t="e">
        <f t="shared" si="40"/>
        <v>#DIV/0!</v>
      </c>
      <c r="K100" s="35" t="e">
        <f t="shared" si="47"/>
        <v>#DIV/0!</v>
      </c>
      <c r="L100" s="203"/>
      <c r="O100" s="356" t="e">
        <f t="shared" si="41"/>
        <v>#DIV/0!</v>
      </c>
      <c r="P100" s="356">
        <f t="shared" si="41"/>
        <v>0</v>
      </c>
      <c r="Q100" s="356">
        <f t="shared" si="41"/>
        <v>0</v>
      </c>
      <c r="R100" s="356">
        <f t="shared" si="41"/>
        <v>0</v>
      </c>
      <c r="S100" s="356">
        <f t="shared" si="41"/>
        <v>0</v>
      </c>
      <c r="T100" s="356">
        <f t="shared" si="41"/>
        <v>0</v>
      </c>
      <c r="U100" s="356">
        <f t="shared" si="41"/>
        <v>0</v>
      </c>
      <c r="V100" s="356">
        <f t="shared" si="41"/>
        <v>0</v>
      </c>
      <c r="W100" s="356">
        <f t="shared" si="41"/>
        <v>0</v>
      </c>
      <c r="X100" s="356">
        <f t="shared" si="41"/>
        <v>0</v>
      </c>
      <c r="Y100" s="356">
        <f t="shared" si="41"/>
        <v>0</v>
      </c>
      <c r="Z100" s="356">
        <f t="shared" si="41"/>
        <v>0</v>
      </c>
      <c r="AA100" s="356">
        <f t="shared" si="41"/>
        <v>0</v>
      </c>
      <c r="AB100" s="356">
        <f t="shared" si="41"/>
        <v>0</v>
      </c>
      <c r="AC100" s="356">
        <f t="shared" si="41"/>
        <v>0</v>
      </c>
      <c r="AD100" s="356">
        <f t="shared" ref="AD100:AS115" si="48">IF($H100=AD$13,(($B100-1)/12)*SLN($D100,$E100,$F100),IF($C100=AD$13,((12-$G100)/12)*SLN($D100,$E100,$F100),IF(AND(AD$13&gt;$C100,AD$13&lt;$H100),SLN($D100,$E100,$F100),0)))</f>
        <v>0</v>
      </c>
      <c r="AE100" s="356">
        <f t="shared" si="48"/>
        <v>0</v>
      </c>
      <c r="AF100" s="356">
        <f t="shared" si="48"/>
        <v>0</v>
      </c>
      <c r="AG100" s="356">
        <f t="shared" si="48"/>
        <v>0</v>
      </c>
      <c r="AH100" s="356">
        <f t="shared" si="48"/>
        <v>0</v>
      </c>
      <c r="AI100" s="356">
        <f t="shared" si="48"/>
        <v>0</v>
      </c>
      <c r="AJ100" s="356">
        <f t="shared" si="48"/>
        <v>0</v>
      </c>
      <c r="AK100" s="356">
        <f t="shared" si="48"/>
        <v>0</v>
      </c>
      <c r="AL100" s="356">
        <f t="shared" si="48"/>
        <v>0</v>
      </c>
      <c r="AM100" s="356">
        <f t="shared" si="48"/>
        <v>0</v>
      </c>
      <c r="AN100" s="356">
        <f t="shared" si="48"/>
        <v>0</v>
      </c>
      <c r="AO100" s="356">
        <f t="shared" si="48"/>
        <v>0</v>
      </c>
      <c r="AP100" s="356">
        <f t="shared" si="48"/>
        <v>0</v>
      </c>
      <c r="AQ100" s="356">
        <f t="shared" si="48"/>
        <v>0</v>
      </c>
      <c r="AR100" s="356">
        <f t="shared" si="48"/>
        <v>0</v>
      </c>
      <c r="AS100" s="356">
        <f t="shared" si="48"/>
        <v>0</v>
      </c>
      <c r="AT100" s="356">
        <f t="shared" si="43"/>
        <v>0</v>
      </c>
      <c r="AU100" s="356">
        <f t="shared" si="43"/>
        <v>0</v>
      </c>
      <c r="AV100" s="356">
        <f t="shared" si="43"/>
        <v>0</v>
      </c>
      <c r="AW100" s="356">
        <f t="shared" si="43"/>
        <v>0</v>
      </c>
      <c r="AX100" s="356">
        <f t="shared" si="43"/>
        <v>0</v>
      </c>
      <c r="AY100" s="356">
        <f t="shared" si="43"/>
        <v>0</v>
      </c>
      <c r="AZ100" s="356">
        <f t="shared" si="43"/>
        <v>0</v>
      </c>
      <c r="BA100" s="356">
        <f t="shared" si="43"/>
        <v>0</v>
      </c>
      <c r="BB100" s="356">
        <f t="shared" si="43"/>
        <v>0</v>
      </c>
      <c r="BC100" s="344">
        <v>88</v>
      </c>
    </row>
    <row r="101" spans="1:55" x14ac:dyDescent="0.25">
      <c r="A101" s="1895"/>
      <c r="B101" s="1895"/>
      <c r="C101" s="2028"/>
      <c r="D101" s="1897"/>
      <c r="E101" s="1897"/>
      <c r="F101" s="1897"/>
      <c r="G101" s="358" t="str">
        <f t="shared" si="44"/>
        <v xml:space="preserve"> </v>
      </c>
      <c r="H101" s="1031">
        <f t="shared" si="45"/>
        <v>0</v>
      </c>
      <c r="I101" s="356" t="e">
        <f t="shared" si="46"/>
        <v>#DIV/0!</v>
      </c>
      <c r="J101" s="5" t="e">
        <f t="shared" si="40"/>
        <v>#DIV/0!</v>
      </c>
      <c r="K101" s="35" t="e">
        <f t="shared" si="47"/>
        <v>#DIV/0!</v>
      </c>
      <c r="L101" s="203"/>
      <c r="O101" s="356" t="e">
        <f t="shared" ref="O101:AD116" si="49">IF($H101=O$13,(($B101-1)/12)*SLN($D101,$E101,$F101),IF($C101=O$13,((12-$G101)/12)*SLN($D101,$E101,$F101),IF(AND(O$13&gt;$C101,O$13&lt;$H101),SLN($D101,$E101,$F101),0)))</f>
        <v>#DIV/0!</v>
      </c>
      <c r="P101" s="356">
        <f t="shared" si="49"/>
        <v>0</v>
      </c>
      <c r="Q101" s="356">
        <f t="shared" si="49"/>
        <v>0</v>
      </c>
      <c r="R101" s="356">
        <f t="shared" si="49"/>
        <v>0</v>
      </c>
      <c r="S101" s="356">
        <f t="shared" si="49"/>
        <v>0</v>
      </c>
      <c r="T101" s="356">
        <f t="shared" si="49"/>
        <v>0</v>
      </c>
      <c r="U101" s="356">
        <f t="shared" si="49"/>
        <v>0</v>
      </c>
      <c r="V101" s="356">
        <f t="shared" si="49"/>
        <v>0</v>
      </c>
      <c r="W101" s="356">
        <f t="shared" si="49"/>
        <v>0</v>
      </c>
      <c r="X101" s="356">
        <f t="shared" si="49"/>
        <v>0</v>
      </c>
      <c r="Y101" s="356">
        <f t="shared" si="49"/>
        <v>0</v>
      </c>
      <c r="Z101" s="356">
        <f t="shared" si="49"/>
        <v>0</v>
      </c>
      <c r="AA101" s="356">
        <f t="shared" si="49"/>
        <v>0</v>
      </c>
      <c r="AB101" s="356">
        <f t="shared" si="49"/>
        <v>0</v>
      </c>
      <c r="AC101" s="356">
        <f t="shared" si="49"/>
        <v>0</v>
      </c>
      <c r="AD101" s="356">
        <f t="shared" si="49"/>
        <v>0</v>
      </c>
      <c r="AE101" s="356">
        <f t="shared" si="48"/>
        <v>0</v>
      </c>
      <c r="AF101" s="356">
        <f t="shared" si="48"/>
        <v>0</v>
      </c>
      <c r="AG101" s="356">
        <f t="shared" si="48"/>
        <v>0</v>
      </c>
      <c r="AH101" s="356">
        <f t="shared" si="48"/>
        <v>0</v>
      </c>
      <c r="AI101" s="356">
        <f t="shared" si="48"/>
        <v>0</v>
      </c>
      <c r="AJ101" s="356">
        <f t="shared" si="48"/>
        <v>0</v>
      </c>
      <c r="AK101" s="356">
        <f t="shared" si="48"/>
        <v>0</v>
      </c>
      <c r="AL101" s="356">
        <f t="shared" si="48"/>
        <v>0</v>
      </c>
      <c r="AM101" s="356">
        <f t="shared" si="48"/>
        <v>0</v>
      </c>
      <c r="AN101" s="356">
        <f t="shared" si="48"/>
        <v>0</v>
      </c>
      <c r="AO101" s="356">
        <f t="shared" si="48"/>
        <v>0</v>
      </c>
      <c r="AP101" s="356">
        <f t="shared" si="48"/>
        <v>0</v>
      </c>
      <c r="AQ101" s="356">
        <f t="shared" si="48"/>
        <v>0</v>
      </c>
      <c r="AR101" s="356">
        <f t="shared" si="48"/>
        <v>0</v>
      </c>
      <c r="AS101" s="356">
        <f t="shared" si="48"/>
        <v>0</v>
      </c>
      <c r="AT101" s="356">
        <f t="shared" si="43"/>
        <v>0</v>
      </c>
      <c r="AU101" s="356">
        <f t="shared" si="43"/>
        <v>0</v>
      </c>
      <c r="AV101" s="356">
        <f t="shared" si="43"/>
        <v>0</v>
      </c>
      <c r="AW101" s="356">
        <f t="shared" si="43"/>
        <v>0</v>
      </c>
      <c r="AX101" s="356">
        <f t="shared" si="43"/>
        <v>0</v>
      </c>
      <c r="AY101" s="356">
        <f t="shared" si="43"/>
        <v>0</v>
      </c>
      <c r="AZ101" s="356">
        <f t="shared" si="43"/>
        <v>0</v>
      </c>
      <c r="BA101" s="356">
        <f t="shared" si="43"/>
        <v>0</v>
      </c>
      <c r="BB101" s="356">
        <f t="shared" si="43"/>
        <v>0</v>
      </c>
      <c r="BC101" s="344">
        <v>89</v>
      </c>
    </row>
    <row r="102" spans="1:55" x14ac:dyDescent="0.25">
      <c r="A102" s="1895"/>
      <c r="B102" s="1895"/>
      <c r="C102" s="2028"/>
      <c r="D102" s="1897"/>
      <c r="E102" s="1897"/>
      <c r="F102" s="1897"/>
      <c r="G102" s="358" t="str">
        <f t="shared" si="44"/>
        <v xml:space="preserve"> </v>
      </c>
      <c r="H102" s="1031">
        <f t="shared" si="45"/>
        <v>0</v>
      </c>
      <c r="I102" s="356" t="e">
        <f t="shared" si="46"/>
        <v>#DIV/0!</v>
      </c>
      <c r="J102" s="5" t="e">
        <f t="shared" si="40"/>
        <v>#DIV/0!</v>
      </c>
      <c r="K102" s="35" t="e">
        <f t="shared" si="47"/>
        <v>#DIV/0!</v>
      </c>
      <c r="L102" s="203"/>
      <c r="O102" s="356" t="e">
        <f t="shared" si="49"/>
        <v>#DIV/0!</v>
      </c>
      <c r="P102" s="356">
        <f t="shared" si="49"/>
        <v>0</v>
      </c>
      <c r="Q102" s="356">
        <f t="shared" si="49"/>
        <v>0</v>
      </c>
      <c r="R102" s="356">
        <f t="shared" si="49"/>
        <v>0</v>
      </c>
      <c r="S102" s="356">
        <f t="shared" si="49"/>
        <v>0</v>
      </c>
      <c r="T102" s="356">
        <f t="shared" si="49"/>
        <v>0</v>
      </c>
      <c r="U102" s="356">
        <f t="shared" si="49"/>
        <v>0</v>
      </c>
      <c r="V102" s="356">
        <f t="shared" si="49"/>
        <v>0</v>
      </c>
      <c r="W102" s="356">
        <f t="shared" si="49"/>
        <v>0</v>
      </c>
      <c r="X102" s="356">
        <f t="shared" si="49"/>
        <v>0</v>
      </c>
      <c r="Y102" s="356">
        <f t="shared" si="49"/>
        <v>0</v>
      </c>
      <c r="Z102" s="356">
        <f t="shared" si="49"/>
        <v>0</v>
      </c>
      <c r="AA102" s="356">
        <f t="shared" si="49"/>
        <v>0</v>
      </c>
      <c r="AB102" s="356">
        <f t="shared" si="49"/>
        <v>0</v>
      </c>
      <c r="AC102" s="356">
        <f t="shared" si="49"/>
        <v>0</v>
      </c>
      <c r="AD102" s="356">
        <f t="shared" si="49"/>
        <v>0</v>
      </c>
      <c r="AE102" s="356">
        <f t="shared" si="48"/>
        <v>0</v>
      </c>
      <c r="AF102" s="356">
        <f t="shared" si="48"/>
        <v>0</v>
      </c>
      <c r="AG102" s="356">
        <f t="shared" si="48"/>
        <v>0</v>
      </c>
      <c r="AH102" s="356">
        <f t="shared" si="48"/>
        <v>0</v>
      </c>
      <c r="AI102" s="356">
        <f t="shared" si="48"/>
        <v>0</v>
      </c>
      <c r="AJ102" s="356">
        <f t="shared" si="48"/>
        <v>0</v>
      </c>
      <c r="AK102" s="356">
        <f t="shared" si="48"/>
        <v>0</v>
      </c>
      <c r="AL102" s="356">
        <f t="shared" si="48"/>
        <v>0</v>
      </c>
      <c r="AM102" s="356">
        <f t="shared" si="48"/>
        <v>0</v>
      </c>
      <c r="AN102" s="356">
        <f t="shared" si="48"/>
        <v>0</v>
      </c>
      <c r="AO102" s="356">
        <f t="shared" si="48"/>
        <v>0</v>
      </c>
      <c r="AP102" s="356">
        <f t="shared" si="48"/>
        <v>0</v>
      </c>
      <c r="AQ102" s="356">
        <f t="shared" si="48"/>
        <v>0</v>
      </c>
      <c r="AR102" s="356">
        <f t="shared" si="48"/>
        <v>0</v>
      </c>
      <c r="AS102" s="356">
        <f t="shared" si="48"/>
        <v>0</v>
      </c>
      <c r="AT102" s="356">
        <f t="shared" si="43"/>
        <v>0</v>
      </c>
      <c r="AU102" s="356">
        <f t="shared" si="43"/>
        <v>0</v>
      </c>
      <c r="AV102" s="356">
        <f t="shared" si="43"/>
        <v>0</v>
      </c>
      <c r="AW102" s="356">
        <f t="shared" si="43"/>
        <v>0</v>
      </c>
      <c r="AX102" s="356">
        <f t="shared" si="43"/>
        <v>0</v>
      </c>
      <c r="AY102" s="356">
        <f t="shared" si="43"/>
        <v>0</v>
      </c>
      <c r="AZ102" s="356">
        <f t="shared" si="43"/>
        <v>0</v>
      </c>
      <c r="BA102" s="356">
        <f t="shared" si="43"/>
        <v>0</v>
      </c>
      <c r="BB102" s="356">
        <f t="shared" si="43"/>
        <v>0</v>
      </c>
      <c r="BC102" s="344">
        <v>90</v>
      </c>
    </row>
    <row r="103" spans="1:55" x14ac:dyDescent="0.25">
      <c r="A103" s="1895"/>
      <c r="B103" s="1895"/>
      <c r="C103" s="2028"/>
      <c r="D103" s="1897"/>
      <c r="E103" s="1897"/>
      <c r="F103" s="1897"/>
      <c r="G103" s="358" t="str">
        <f t="shared" si="44"/>
        <v xml:space="preserve"> </v>
      </c>
      <c r="H103" s="1031">
        <f t="shared" si="45"/>
        <v>0</v>
      </c>
      <c r="I103" s="356" t="e">
        <f t="shared" si="46"/>
        <v>#DIV/0!</v>
      </c>
      <c r="J103" s="5" t="e">
        <f t="shared" si="40"/>
        <v>#DIV/0!</v>
      </c>
      <c r="K103" s="35" t="e">
        <f t="shared" si="47"/>
        <v>#DIV/0!</v>
      </c>
      <c r="L103" s="203"/>
      <c r="O103" s="356" t="e">
        <f t="shared" si="49"/>
        <v>#DIV/0!</v>
      </c>
      <c r="P103" s="356">
        <f t="shared" si="49"/>
        <v>0</v>
      </c>
      <c r="Q103" s="356">
        <f t="shared" si="49"/>
        <v>0</v>
      </c>
      <c r="R103" s="356">
        <f t="shared" si="49"/>
        <v>0</v>
      </c>
      <c r="S103" s="356">
        <f t="shared" si="49"/>
        <v>0</v>
      </c>
      <c r="T103" s="356">
        <f t="shared" si="49"/>
        <v>0</v>
      </c>
      <c r="U103" s="356">
        <f t="shared" si="49"/>
        <v>0</v>
      </c>
      <c r="V103" s="356">
        <f t="shared" si="49"/>
        <v>0</v>
      </c>
      <c r="W103" s="356">
        <f t="shared" si="49"/>
        <v>0</v>
      </c>
      <c r="X103" s="356">
        <f t="shared" si="49"/>
        <v>0</v>
      </c>
      <c r="Y103" s="356">
        <f t="shared" si="49"/>
        <v>0</v>
      </c>
      <c r="Z103" s="356">
        <f t="shared" si="49"/>
        <v>0</v>
      </c>
      <c r="AA103" s="356">
        <f t="shared" si="49"/>
        <v>0</v>
      </c>
      <c r="AB103" s="356">
        <f t="shared" si="49"/>
        <v>0</v>
      </c>
      <c r="AC103" s="356">
        <f t="shared" si="49"/>
        <v>0</v>
      </c>
      <c r="AD103" s="356">
        <f t="shared" si="49"/>
        <v>0</v>
      </c>
      <c r="AE103" s="356">
        <f t="shared" si="48"/>
        <v>0</v>
      </c>
      <c r="AF103" s="356">
        <f t="shared" si="48"/>
        <v>0</v>
      </c>
      <c r="AG103" s="356">
        <f t="shared" si="48"/>
        <v>0</v>
      </c>
      <c r="AH103" s="356">
        <f t="shared" si="48"/>
        <v>0</v>
      </c>
      <c r="AI103" s="356">
        <f t="shared" si="48"/>
        <v>0</v>
      </c>
      <c r="AJ103" s="356">
        <f t="shared" si="48"/>
        <v>0</v>
      </c>
      <c r="AK103" s="356">
        <f t="shared" si="48"/>
        <v>0</v>
      </c>
      <c r="AL103" s="356">
        <f t="shared" si="48"/>
        <v>0</v>
      </c>
      <c r="AM103" s="356">
        <f t="shared" si="48"/>
        <v>0</v>
      </c>
      <c r="AN103" s="356">
        <f t="shared" si="48"/>
        <v>0</v>
      </c>
      <c r="AO103" s="356">
        <f t="shared" si="48"/>
        <v>0</v>
      </c>
      <c r="AP103" s="356">
        <f t="shared" si="48"/>
        <v>0</v>
      </c>
      <c r="AQ103" s="356">
        <f t="shared" si="48"/>
        <v>0</v>
      </c>
      <c r="AR103" s="356">
        <f t="shared" si="48"/>
        <v>0</v>
      </c>
      <c r="AS103" s="356">
        <f t="shared" si="48"/>
        <v>0</v>
      </c>
      <c r="AT103" s="356">
        <f t="shared" si="43"/>
        <v>0</v>
      </c>
      <c r="AU103" s="356">
        <f t="shared" si="43"/>
        <v>0</v>
      </c>
      <c r="AV103" s="356">
        <f t="shared" si="43"/>
        <v>0</v>
      </c>
      <c r="AW103" s="356">
        <f t="shared" si="43"/>
        <v>0</v>
      </c>
      <c r="AX103" s="356">
        <f t="shared" si="43"/>
        <v>0</v>
      </c>
      <c r="AY103" s="356">
        <f t="shared" si="43"/>
        <v>0</v>
      </c>
      <c r="AZ103" s="356">
        <f t="shared" si="43"/>
        <v>0</v>
      </c>
      <c r="BA103" s="356">
        <f t="shared" si="43"/>
        <v>0</v>
      </c>
      <c r="BB103" s="356">
        <f t="shared" si="43"/>
        <v>0</v>
      </c>
      <c r="BC103" s="344">
        <v>91</v>
      </c>
    </row>
    <row r="104" spans="1:55" x14ac:dyDescent="0.25">
      <c r="A104" s="1895"/>
      <c r="B104" s="1895"/>
      <c r="C104" s="2028"/>
      <c r="D104" s="1897"/>
      <c r="E104" s="1897"/>
      <c r="F104" s="1897"/>
      <c r="G104" s="358" t="str">
        <f t="shared" si="44"/>
        <v xml:space="preserve"> </v>
      </c>
      <c r="H104" s="1031">
        <f t="shared" si="45"/>
        <v>0</v>
      </c>
      <c r="I104" s="356" t="e">
        <f t="shared" si="46"/>
        <v>#DIV/0!</v>
      </c>
      <c r="J104" s="5" t="e">
        <f t="shared" si="40"/>
        <v>#DIV/0!</v>
      </c>
      <c r="K104" s="35" t="e">
        <f t="shared" si="47"/>
        <v>#DIV/0!</v>
      </c>
      <c r="L104" s="203"/>
      <c r="O104" s="356" t="e">
        <f t="shared" si="49"/>
        <v>#DIV/0!</v>
      </c>
      <c r="P104" s="356">
        <f t="shared" si="49"/>
        <v>0</v>
      </c>
      <c r="Q104" s="356">
        <f t="shared" si="49"/>
        <v>0</v>
      </c>
      <c r="R104" s="356">
        <f t="shared" si="49"/>
        <v>0</v>
      </c>
      <c r="S104" s="356">
        <f t="shared" si="49"/>
        <v>0</v>
      </c>
      <c r="T104" s="356">
        <f t="shared" si="49"/>
        <v>0</v>
      </c>
      <c r="U104" s="356">
        <f t="shared" si="49"/>
        <v>0</v>
      </c>
      <c r="V104" s="356">
        <f t="shared" si="49"/>
        <v>0</v>
      </c>
      <c r="W104" s="356">
        <f t="shared" si="49"/>
        <v>0</v>
      </c>
      <c r="X104" s="356">
        <f t="shared" si="49"/>
        <v>0</v>
      </c>
      <c r="Y104" s="356">
        <f t="shared" si="49"/>
        <v>0</v>
      </c>
      <c r="Z104" s="356">
        <f t="shared" si="49"/>
        <v>0</v>
      </c>
      <c r="AA104" s="356">
        <f t="shared" si="49"/>
        <v>0</v>
      </c>
      <c r="AB104" s="356">
        <f t="shared" si="49"/>
        <v>0</v>
      </c>
      <c r="AC104" s="356">
        <f t="shared" si="49"/>
        <v>0</v>
      </c>
      <c r="AD104" s="356">
        <f t="shared" si="49"/>
        <v>0</v>
      </c>
      <c r="AE104" s="356">
        <f t="shared" si="48"/>
        <v>0</v>
      </c>
      <c r="AF104" s="356">
        <f t="shared" si="48"/>
        <v>0</v>
      </c>
      <c r="AG104" s="356">
        <f t="shared" si="48"/>
        <v>0</v>
      </c>
      <c r="AH104" s="356">
        <f t="shared" si="48"/>
        <v>0</v>
      </c>
      <c r="AI104" s="356">
        <f t="shared" si="48"/>
        <v>0</v>
      </c>
      <c r="AJ104" s="356">
        <f t="shared" si="48"/>
        <v>0</v>
      </c>
      <c r="AK104" s="356">
        <f t="shared" si="48"/>
        <v>0</v>
      </c>
      <c r="AL104" s="356">
        <f t="shared" si="48"/>
        <v>0</v>
      </c>
      <c r="AM104" s="356">
        <f t="shared" si="48"/>
        <v>0</v>
      </c>
      <c r="AN104" s="356">
        <f t="shared" si="48"/>
        <v>0</v>
      </c>
      <c r="AO104" s="356">
        <f t="shared" si="48"/>
        <v>0</v>
      </c>
      <c r="AP104" s="356">
        <f t="shared" si="48"/>
        <v>0</v>
      </c>
      <c r="AQ104" s="356">
        <f t="shared" si="48"/>
        <v>0</v>
      </c>
      <c r="AR104" s="356">
        <f t="shared" si="48"/>
        <v>0</v>
      </c>
      <c r="AS104" s="356">
        <f t="shared" si="48"/>
        <v>0</v>
      </c>
      <c r="AT104" s="356">
        <f t="shared" si="43"/>
        <v>0</v>
      </c>
      <c r="AU104" s="356">
        <f t="shared" si="43"/>
        <v>0</v>
      </c>
      <c r="AV104" s="356">
        <f t="shared" si="43"/>
        <v>0</v>
      </c>
      <c r="AW104" s="356">
        <f t="shared" si="43"/>
        <v>0</v>
      </c>
      <c r="AX104" s="356">
        <f t="shared" si="43"/>
        <v>0</v>
      </c>
      <c r="AY104" s="356">
        <f t="shared" si="43"/>
        <v>0</v>
      </c>
      <c r="AZ104" s="356">
        <f t="shared" si="43"/>
        <v>0</v>
      </c>
      <c r="BA104" s="356">
        <f t="shared" si="43"/>
        <v>0</v>
      </c>
      <c r="BB104" s="356">
        <f t="shared" si="43"/>
        <v>0</v>
      </c>
      <c r="BC104" s="344">
        <v>92</v>
      </c>
    </row>
    <row r="105" spans="1:55" x14ac:dyDescent="0.25">
      <c r="A105" s="1895"/>
      <c r="B105" s="1895"/>
      <c r="C105" s="2028"/>
      <c r="D105" s="1897"/>
      <c r="E105" s="1897"/>
      <c r="F105" s="1897"/>
      <c r="G105" s="358" t="str">
        <f t="shared" si="44"/>
        <v xml:space="preserve"> </v>
      </c>
      <c r="H105" s="1031">
        <f t="shared" si="45"/>
        <v>0</v>
      </c>
      <c r="I105" s="356" t="e">
        <f t="shared" si="46"/>
        <v>#DIV/0!</v>
      </c>
      <c r="J105" s="5" t="e">
        <f t="shared" si="40"/>
        <v>#DIV/0!</v>
      </c>
      <c r="K105" s="35" t="e">
        <f t="shared" si="47"/>
        <v>#DIV/0!</v>
      </c>
      <c r="L105" s="203"/>
      <c r="O105" s="356" t="e">
        <f t="shared" si="49"/>
        <v>#DIV/0!</v>
      </c>
      <c r="P105" s="356">
        <f t="shared" si="49"/>
        <v>0</v>
      </c>
      <c r="Q105" s="356">
        <f t="shared" si="49"/>
        <v>0</v>
      </c>
      <c r="R105" s="356">
        <f t="shared" si="49"/>
        <v>0</v>
      </c>
      <c r="S105" s="356">
        <f t="shared" si="49"/>
        <v>0</v>
      </c>
      <c r="T105" s="356">
        <f t="shared" si="49"/>
        <v>0</v>
      </c>
      <c r="U105" s="356">
        <f t="shared" si="49"/>
        <v>0</v>
      </c>
      <c r="V105" s="356">
        <f t="shared" si="49"/>
        <v>0</v>
      </c>
      <c r="W105" s="356">
        <f t="shared" si="49"/>
        <v>0</v>
      </c>
      <c r="X105" s="356">
        <f t="shared" si="49"/>
        <v>0</v>
      </c>
      <c r="Y105" s="356">
        <f t="shared" si="49"/>
        <v>0</v>
      </c>
      <c r="Z105" s="356">
        <f t="shared" si="49"/>
        <v>0</v>
      </c>
      <c r="AA105" s="356">
        <f t="shared" si="49"/>
        <v>0</v>
      </c>
      <c r="AB105" s="356">
        <f t="shared" si="49"/>
        <v>0</v>
      </c>
      <c r="AC105" s="356">
        <f t="shared" si="49"/>
        <v>0</v>
      </c>
      <c r="AD105" s="356">
        <f t="shared" si="49"/>
        <v>0</v>
      </c>
      <c r="AE105" s="356">
        <f t="shared" si="48"/>
        <v>0</v>
      </c>
      <c r="AF105" s="356">
        <f t="shared" si="48"/>
        <v>0</v>
      </c>
      <c r="AG105" s="356">
        <f t="shared" si="48"/>
        <v>0</v>
      </c>
      <c r="AH105" s="356">
        <f t="shared" si="48"/>
        <v>0</v>
      </c>
      <c r="AI105" s="356">
        <f t="shared" si="48"/>
        <v>0</v>
      </c>
      <c r="AJ105" s="356">
        <f t="shared" si="48"/>
        <v>0</v>
      </c>
      <c r="AK105" s="356">
        <f t="shared" si="48"/>
        <v>0</v>
      </c>
      <c r="AL105" s="356">
        <f t="shared" si="48"/>
        <v>0</v>
      </c>
      <c r="AM105" s="356">
        <f t="shared" si="48"/>
        <v>0</v>
      </c>
      <c r="AN105" s="356">
        <f t="shared" si="48"/>
        <v>0</v>
      </c>
      <c r="AO105" s="356">
        <f t="shared" si="48"/>
        <v>0</v>
      </c>
      <c r="AP105" s="356">
        <f t="shared" si="48"/>
        <v>0</v>
      </c>
      <c r="AQ105" s="356">
        <f t="shared" si="48"/>
        <v>0</v>
      </c>
      <c r="AR105" s="356">
        <f t="shared" si="48"/>
        <v>0</v>
      </c>
      <c r="AS105" s="356">
        <f t="shared" si="48"/>
        <v>0</v>
      </c>
      <c r="AT105" s="356">
        <f t="shared" si="43"/>
        <v>0</v>
      </c>
      <c r="AU105" s="356">
        <f t="shared" si="43"/>
        <v>0</v>
      </c>
      <c r="AV105" s="356">
        <f t="shared" si="43"/>
        <v>0</v>
      </c>
      <c r="AW105" s="356">
        <f t="shared" si="43"/>
        <v>0</v>
      </c>
      <c r="AX105" s="356">
        <f t="shared" si="43"/>
        <v>0</v>
      </c>
      <c r="AY105" s="356">
        <f t="shared" si="43"/>
        <v>0</v>
      </c>
      <c r="AZ105" s="356">
        <f t="shared" si="43"/>
        <v>0</v>
      </c>
      <c r="BA105" s="356">
        <f t="shared" si="43"/>
        <v>0</v>
      </c>
      <c r="BB105" s="356">
        <f t="shared" si="43"/>
        <v>0</v>
      </c>
      <c r="BC105" s="344">
        <v>93</v>
      </c>
    </row>
    <row r="106" spans="1:55" x14ac:dyDescent="0.25">
      <c r="A106" s="1895"/>
      <c r="B106" s="1895"/>
      <c r="C106" s="2028"/>
      <c r="D106" s="1897"/>
      <c r="E106" s="1897"/>
      <c r="F106" s="1897"/>
      <c r="G106" s="358" t="str">
        <f t="shared" si="44"/>
        <v xml:space="preserve"> </v>
      </c>
      <c r="H106" s="1031">
        <f t="shared" si="45"/>
        <v>0</v>
      </c>
      <c r="I106" s="356" t="e">
        <f t="shared" si="46"/>
        <v>#DIV/0!</v>
      </c>
      <c r="J106" s="5" t="e">
        <f t="shared" si="40"/>
        <v>#DIV/0!</v>
      </c>
      <c r="K106" s="35" t="e">
        <f t="shared" si="47"/>
        <v>#DIV/0!</v>
      </c>
      <c r="L106" s="203"/>
      <c r="O106" s="356" t="e">
        <f t="shared" si="49"/>
        <v>#DIV/0!</v>
      </c>
      <c r="P106" s="356">
        <f t="shared" si="49"/>
        <v>0</v>
      </c>
      <c r="Q106" s="356">
        <f t="shared" si="49"/>
        <v>0</v>
      </c>
      <c r="R106" s="356">
        <f t="shared" si="49"/>
        <v>0</v>
      </c>
      <c r="S106" s="356">
        <f t="shared" si="49"/>
        <v>0</v>
      </c>
      <c r="T106" s="356">
        <f t="shared" si="49"/>
        <v>0</v>
      </c>
      <c r="U106" s="356">
        <f t="shared" si="49"/>
        <v>0</v>
      </c>
      <c r="V106" s="356">
        <f t="shared" si="49"/>
        <v>0</v>
      </c>
      <c r="W106" s="356">
        <f t="shared" si="49"/>
        <v>0</v>
      </c>
      <c r="X106" s="356">
        <f t="shared" si="49"/>
        <v>0</v>
      </c>
      <c r="Y106" s="356">
        <f t="shared" si="49"/>
        <v>0</v>
      </c>
      <c r="Z106" s="356">
        <f t="shared" si="49"/>
        <v>0</v>
      </c>
      <c r="AA106" s="356">
        <f t="shared" si="49"/>
        <v>0</v>
      </c>
      <c r="AB106" s="356">
        <f t="shared" si="49"/>
        <v>0</v>
      </c>
      <c r="AC106" s="356">
        <f t="shared" si="49"/>
        <v>0</v>
      </c>
      <c r="AD106" s="356">
        <f t="shared" si="49"/>
        <v>0</v>
      </c>
      <c r="AE106" s="356">
        <f t="shared" si="48"/>
        <v>0</v>
      </c>
      <c r="AF106" s="356">
        <f t="shared" si="48"/>
        <v>0</v>
      </c>
      <c r="AG106" s="356">
        <f t="shared" si="48"/>
        <v>0</v>
      </c>
      <c r="AH106" s="356">
        <f t="shared" si="48"/>
        <v>0</v>
      </c>
      <c r="AI106" s="356">
        <f t="shared" si="48"/>
        <v>0</v>
      </c>
      <c r="AJ106" s="356">
        <f t="shared" si="48"/>
        <v>0</v>
      </c>
      <c r="AK106" s="356">
        <f t="shared" si="48"/>
        <v>0</v>
      </c>
      <c r="AL106" s="356">
        <f t="shared" si="48"/>
        <v>0</v>
      </c>
      <c r="AM106" s="356">
        <f t="shared" si="48"/>
        <v>0</v>
      </c>
      <c r="AN106" s="356">
        <f t="shared" si="48"/>
        <v>0</v>
      </c>
      <c r="AO106" s="356">
        <f t="shared" si="48"/>
        <v>0</v>
      </c>
      <c r="AP106" s="356">
        <f t="shared" si="48"/>
        <v>0</v>
      </c>
      <c r="AQ106" s="356">
        <f t="shared" si="48"/>
        <v>0</v>
      </c>
      <c r="AR106" s="356">
        <f t="shared" si="48"/>
        <v>0</v>
      </c>
      <c r="AS106" s="356">
        <f t="shared" si="48"/>
        <v>0</v>
      </c>
      <c r="AT106" s="356">
        <f t="shared" si="43"/>
        <v>0</v>
      </c>
      <c r="AU106" s="356">
        <f t="shared" si="43"/>
        <v>0</v>
      </c>
      <c r="AV106" s="356">
        <f t="shared" si="43"/>
        <v>0</v>
      </c>
      <c r="AW106" s="356">
        <f t="shared" si="43"/>
        <v>0</v>
      </c>
      <c r="AX106" s="356">
        <f t="shared" si="43"/>
        <v>0</v>
      </c>
      <c r="AY106" s="356">
        <f t="shared" si="43"/>
        <v>0</v>
      </c>
      <c r="AZ106" s="356">
        <f t="shared" si="43"/>
        <v>0</v>
      </c>
      <c r="BA106" s="356">
        <f t="shared" si="43"/>
        <v>0</v>
      </c>
      <c r="BB106" s="356">
        <f t="shared" si="43"/>
        <v>0</v>
      </c>
      <c r="BC106" s="344">
        <v>94</v>
      </c>
    </row>
    <row r="107" spans="1:55" x14ac:dyDescent="0.25">
      <c r="A107" s="1895"/>
      <c r="B107" s="1895"/>
      <c r="C107" s="2028"/>
      <c r="D107" s="1897"/>
      <c r="E107" s="1897"/>
      <c r="F107" s="1897"/>
      <c r="G107" s="358" t="str">
        <f t="shared" si="44"/>
        <v xml:space="preserve"> </v>
      </c>
      <c r="H107" s="1031">
        <f t="shared" si="45"/>
        <v>0</v>
      </c>
      <c r="I107" s="356" t="e">
        <f t="shared" si="46"/>
        <v>#DIV/0!</v>
      </c>
      <c r="J107" s="5" t="e">
        <f t="shared" si="40"/>
        <v>#DIV/0!</v>
      </c>
      <c r="K107" s="35" t="e">
        <f t="shared" si="47"/>
        <v>#DIV/0!</v>
      </c>
      <c r="L107" s="203"/>
      <c r="O107" s="356" t="e">
        <f t="shared" si="49"/>
        <v>#DIV/0!</v>
      </c>
      <c r="P107" s="356">
        <f t="shared" si="49"/>
        <v>0</v>
      </c>
      <c r="Q107" s="356">
        <f t="shared" si="49"/>
        <v>0</v>
      </c>
      <c r="R107" s="356">
        <f t="shared" si="49"/>
        <v>0</v>
      </c>
      <c r="S107" s="356">
        <f t="shared" si="49"/>
        <v>0</v>
      </c>
      <c r="T107" s="356">
        <f t="shared" si="49"/>
        <v>0</v>
      </c>
      <c r="U107" s="356">
        <f t="shared" si="49"/>
        <v>0</v>
      </c>
      <c r="V107" s="356">
        <f t="shared" si="49"/>
        <v>0</v>
      </c>
      <c r="W107" s="356">
        <f t="shared" si="49"/>
        <v>0</v>
      </c>
      <c r="X107" s="356">
        <f t="shared" si="49"/>
        <v>0</v>
      </c>
      <c r="Y107" s="356">
        <f t="shared" si="49"/>
        <v>0</v>
      </c>
      <c r="Z107" s="356">
        <f t="shared" si="49"/>
        <v>0</v>
      </c>
      <c r="AA107" s="356">
        <f t="shared" si="49"/>
        <v>0</v>
      </c>
      <c r="AB107" s="356">
        <f t="shared" si="49"/>
        <v>0</v>
      </c>
      <c r="AC107" s="356">
        <f t="shared" si="49"/>
        <v>0</v>
      </c>
      <c r="AD107" s="356">
        <f t="shared" si="49"/>
        <v>0</v>
      </c>
      <c r="AE107" s="356">
        <f t="shared" si="48"/>
        <v>0</v>
      </c>
      <c r="AF107" s="356">
        <f t="shared" si="48"/>
        <v>0</v>
      </c>
      <c r="AG107" s="356">
        <f t="shared" si="48"/>
        <v>0</v>
      </c>
      <c r="AH107" s="356">
        <f t="shared" si="48"/>
        <v>0</v>
      </c>
      <c r="AI107" s="356">
        <f t="shared" si="48"/>
        <v>0</v>
      </c>
      <c r="AJ107" s="356">
        <f t="shared" si="48"/>
        <v>0</v>
      </c>
      <c r="AK107" s="356">
        <f t="shared" si="48"/>
        <v>0</v>
      </c>
      <c r="AL107" s="356">
        <f t="shared" si="48"/>
        <v>0</v>
      </c>
      <c r="AM107" s="356">
        <f t="shared" si="48"/>
        <v>0</v>
      </c>
      <c r="AN107" s="356">
        <f t="shared" si="48"/>
        <v>0</v>
      </c>
      <c r="AO107" s="356">
        <f t="shared" si="48"/>
        <v>0</v>
      </c>
      <c r="AP107" s="356">
        <f t="shared" si="48"/>
        <v>0</v>
      </c>
      <c r="AQ107" s="356">
        <f t="shared" si="48"/>
        <v>0</v>
      </c>
      <c r="AR107" s="356">
        <f t="shared" si="48"/>
        <v>0</v>
      </c>
      <c r="AS107" s="356">
        <f t="shared" si="48"/>
        <v>0</v>
      </c>
      <c r="AT107" s="356">
        <f t="shared" si="43"/>
        <v>0</v>
      </c>
      <c r="AU107" s="356">
        <f t="shared" si="43"/>
        <v>0</v>
      </c>
      <c r="AV107" s="356">
        <f t="shared" si="43"/>
        <v>0</v>
      </c>
      <c r="AW107" s="356">
        <f t="shared" si="43"/>
        <v>0</v>
      </c>
      <c r="AX107" s="356">
        <f t="shared" si="43"/>
        <v>0</v>
      </c>
      <c r="AY107" s="356">
        <f t="shared" si="43"/>
        <v>0</v>
      </c>
      <c r="AZ107" s="356">
        <f t="shared" si="43"/>
        <v>0</v>
      </c>
      <c r="BA107" s="356">
        <f t="shared" si="43"/>
        <v>0</v>
      </c>
      <c r="BB107" s="356">
        <f t="shared" si="43"/>
        <v>0</v>
      </c>
      <c r="BC107" s="344">
        <v>95</v>
      </c>
    </row>
    <row r="108" spans="1:55" x14ac:dyDescent="0.25">
      <c r="A108" s="1895"/>
      <c r="B108" s="1895"/>
      <c r="C108" s="2028"/>
      <c r="D108" s="1897"/>
      <c r="E108" s="1897"/>
      <c r="F108" s="1897"/>
      <c r="G108" s="358" t="str">
        <f t="shared" si="44"/>
        <v xml:space="preserve"> </v>
      </c>
      <c r="H108" s="1031">
        <f t="shared" si="45"/>
        <v>0</v>
      </c>
      <c r="I108" s="356" t="e">
        <f t="shared" si="46"/>
        <v>#DIV/0!</v>
      </c>
      <c r="J108" s="5" t="e">
        <f t="shared" si="40"/>
        <v>#DIV/0!</v>
      </c>
      <c r="K108" s="35" t="e">
        <f t="shared" si="47"/>
        <v>#DIV/0!</v>
      </c>
      <c r="L108" s="203"/>
      <c r="O108" s="356" t="e">
        <f t="shared" si="49"/>
        <v>#DIV/0!</v>
      </c>
      <c r="P108" s="356">
        <f t="shared" si="49"/>
        <v>0</v>
      </c>
      <c r="Q108" s="356">
        <f t="shared" si="49"/>
        <v>0</v>
      </c>
      <c r="R108" s="356">
        <f t="shared" si="49"/>
        <v>0</v>
      </c>
      <c r="S108" s="356">
        <f t="shared" si="49"/>
        <v>0</v>
      </c>
      <c r="T108" s="356">
        <f t="shared" si="49"/>
        <v>0</v>
      </c>
      <c r="U108" s="356">
        <f t="shared" si="49"/>
        <v>0</v>
      </c>
      <c r="V108" s="356">
        <f t="shared" si="49"/>
        <v>0</v>
      </c>
      <c r="W108" s="356">
        <f t="shared" si="49"/>
        <v>0</v>
      </c>
      <c r="X108" s="356">
        <f t="shared" si="49"/>
        <v>0</v>
      </c>
      <c r="Y108" s="356">
        <f t="shared" si="49"/>
        <v>0</v>
      </c>
      <c r="Z108" s="356">
        <f t="shared" si="49"/>
        <v>0</v>
      </c>
      <c r="AA108" s="356">
        <f t="shared" si="49"/>
        <v>0</v>
      </c>
      <c r="AB108" s="356">
        <f t="shared" si="49"/>
        <v>0</v>
      </c>
      <c r="AC108" s="356">
        <f t="shared" si="49"/>
        <v>0</v>
      </c>
      <c r="AD108" s="356">
        <f t="shared" si="49"/>
        <v>0</v>
      </c>
      <c r="AE108" s="356">
        <f t="shared" si="48"/>
        <v>0</v>
      </c>
      <c r="AF108" s="356">
        <f t="shared" si="48"/>
        <v>0</v>
      </c>
      <c r="AG108" s="356">
        <f t="shared" si="48"/>
        <v>0</v>
      </c>
      <c r="AH108" s="356">
        <f t="shared" si="48"/>
        <v>0</v>
      </c>
      <c r="AI108" s="356">
        <f t="shared" si="48"/>
        <v>0</v>
      </c>
      <c r="AJ108" s="356">
        <f t="shared" si="48"/>
        <v>0</v>
      </c>
      <c r="AK108" s="356">
        <f t="shared" si="48"/>
        <v>0</v>
      </c>
      <c r="AL108" s="356">
        <f t="shared" si="48"/>
        <v>0</v>
      </c>
      <c r="AM108" s="356">
        <f t="shared" si="48"/>
        <v>0</v>
      </c>
      <c r="AN108" s="356">
        <f t="shared" si="48"/>
        <v>0</v>
      </c>
      <c r="AO108" s="356">
        <f t="shared" si="48"/>
        <v>0</v>
      </c>
      <c r="AP108" s="356">
        <f t="shared" si="48"/>
        <v>0</v>
      </c>
      <c r="AQ108" s="356">
        <f t="shared" si="48"/>
        <v>0</v>
      </c>
      <c r="AR108" s="356">
        <f t="shared" si="48"/>
        <v>0</v>
      </c>
      <c r="AS108" s="356">
        <f t="shared" si="48"/>
        <v>0</v>
      </c>
      <c r="AT108" s="356">
        <f t="shared" si="43"/>
        <v>0</v>
      </c>
      <c r="AU108" s="356">
        <f t="shared" si="43"/>
        <v>0</v>
      </c>
      <c r="AV108" s="356">
        <f t="shared" si="43"/>
        <v>0</v>
      </c>
      <c r="AW108" s="356">
        <f t="shared" si="43"/>
        <v>0</v>
      </c>
      <c r="AX108" s="356">
        <f t="shared" si="43"/>
        <v>0</v>
      </c>
      <c r="AY108" s="356">
        <f t="shared" si="43"/>
        <v>0</v>
      </c>
      <c r="AZ108" s="356">
        <f t="shared" si="43"/>
        <v>0</v>
      </c>
      <c r="BA108" s="356">
        <f t="shared" si="43"/>
        <v>0</v>
      </c>
      <c r="BB108" s="356">
        <f t="shared" si="43"/>
        <v>0</v>
      </c>
      <c r="BC108" s="344">
        <v>96</v>
      </c>
    </row>
    <row r="109" spans="1:55" x14ac:dyDescent="0.25">
      <c r="A109" s="1895"/>
      <c r="B109" s="1895"/>
      <c r="C109" s="2028"/>
      <c r="D109" s="1897"/>
      <c r="E109" s="1897"/>
      <c r="F109" s="1897"/>
      <c r="G109" s="358" t="str">
        <f t="shared" si="44"/>
        <v xml:space="preserve"> </v>
      </c>
      <c r="H109" s="1031">
        <f t="shared" si="45"/>
        <v>0</v>
      </c>
      <c r="I109" s="356" t="e">
        <f t="shared" si="46"/>
        <v>#DIV/0!</v>
      </c>
      <c r="J109" s="5" t="e">
        <f t="shared" si="40"/>
        <v>#DIV/0!</v>
      </c>
      <c r="K109" s="35" t="e">
        <f t="shared" si="47"/>
        <v>#DIV/0!</v>
      </c>
      <c r="L109" s="203"/>
      <c r="O109" s="356" t="e">
        <f t="shared" si="49"/>
        <v>#DIV/0!</v>
      </c>
      <c r="P109" s="356">
        <f t="shared" si="49"/>
        <v>0</v>
      </c>
      <c r="Q109" s="356">
        <f t="shared" si="49"/>
        <v>0</v>
      </c>
      <c r="R109" s="356">
        <f t="shared" si="49"/>
        <v>0</v>
      </c>
      <c r="S109" s="356">
        <f t="shared" si="49"/>
        <v>0</v>
      </c>
      <c r="T109" s="356">
        <f t="shared" si="49"/>
        <v>0</v>
      </c>
      <c r="U109" s="356">
        <f t="shared" si="49"/>
        <v>0</v>
      </c>
      <c r="V109" s="356">
        <f t="shared" si="49"/>
        <v>0</v>
      </c>
      <c r="W109" s="356">
        <f t="shared" si="49"/>
        <v>0</v>
      </c>
      <c r="X109" s="356">
        <f t="shared" si="49"/>
        <v>0</v>
      </c>
      <c r="Y109" s="356">
        <f t="shared" si="49"/>
        <v>0</v>
      </c>
      <c r="Z109" s="356">
        <f t="shared" si="49"/>
        <v>0</v>
      </c>
      <c r="AA109" s="356">
        <f t="shared" si="49"/>
        <v>0</v>
      </c>
      <c r="AB109" s="356">
        <f t="shared" si="49"/>
        <v>0</v>
      </c>
      <c r="AC109" s="356">
        <f t="shared" si="49"/>
        <v>0</v>
      </c>
      <c r="AD109" s="356">
        <f t="shared" si="49"/>
        <v>0</v>
      </c>
      <c r="AE109" s="356">
        <f t="shared" si="48"/>
        <v>0</v>
      </c>
      <c r="AF109" s="356">
        <f t="shared" si="48"/>
        <v>0</v>
      </c>
      <c r="AG109" s="356">
        <f t="shared" si="48"/>
        <v>0</v>
      </c>
      <c r="AH109" s="356">
        <f t="shared" si="48"/>
        <v>0</v>
      </c>
      <c r="AI109" s="356">
        <f t="shared" si="48"/>
        <v>0</v>
      </c>
      <c r="AJ109" s="356">
        <f t="shared" si="48"/>
        <v>0</v>
      </c>
      <c r="AK109" s="356">
        <f t="shared" si="48"/>
        <v>0</v>
      </c>
      <c r="AL109" s="356">
        <f t="shared" si="48"/>
        <v>0</v>
      </c>
      <c r="AM109" s="356">
        <f t="shared" si="48"/>
        <v>0</v>
      </c>
      <c r="AN109" s="356">
        <f t="shared" si="48"/>
        <v>0</v>
      </c>
      <c r="AO109" s="356">
        <f t="shared" si="48"/>
        <v>0</v>
      </c>
      <c r="AP109" s="356">
        <f t="shared" si="48"/>
        <v>0</v>
      </c>
      <c r="AQ109" s="356">
        <f t="shared" si="48"/>
        <v>0</v>
      </c>
      <c r="AR109" s="356">
        <f t="shared" si="48"/>
        <v>0</v>
      </c>
      <c r="AS109" s="356">
        <f t="shared" si="48"/>
        <v>0</v>
      </c>
      <c r="AT109" s="356">
        <f t="shared" si="43"/>
        <v>0</v>
      </c>
      <c r="AU109" s="356">
        <f t="shared" si="43"/>
        <v>0</v>
      </c>
      <c r="AV109" s="356">
        <f t="shared" si="43"/>
        <v>0</v>
      </c>
      <c r="AW109" s="356">
        <f t="shared" si="43"/>
        <v>0</v>
      </c>
      <c r="AX109" s="356">
        <f t="shared" si="43"/>
        <v>0</v>
      </c>
      <c r="AY109" s="356">
        <f t="shared" si="43"/>
        <v>0</v>
      </c>
      <c r="AZ109" s="356">
        <f t="shared" si="43"/>
        <v>0</v>
      </c>
      <c r="BA109" s="356">
        <f t="shared" si="43"/>
        <v>0</v>
      </c>
      <c r="BB109" s="356">
        <f t="shared" si="43"/>
        <v>0</v>
      </c>
      <c r="BC109" s="344">
        <v>97</v>
      </c>
    </row>
    <row r="110" spans="1:55" x14ac:dyDescent="0.25">
      <c r="A110" s="1895"/>
      <c r="B110" s="1895"/>
      <c r="C110" s="2028"/>
      <c r="D110" s="1897"/>
      <c r="E110" s="1897"/>
      <c r="F110" s="1897"/>
      <c r="G110" s="358" t="str">
        <f t="shared" si="44"/>
        <v xml:space="preserve"> </v>
      </c>
      <c r="H110" s="1031">
        <f t="shared" si="45"/>
        <v>0</v>
      </c>
      <c r="I110" s="356" t="e">
        <f t="shared" si="46"/>
        <v>#DIV/0!</v>
      </c>
      <c r="J110" s="5" t="e">
        <f t="shared" si="40"/>
        <v>#DIV/0!</v>
      </c>
      <c r="K110" s="35" t="e">
        <f t="shared" si="47"/>
        <v>#DIV/0!</v>
      </c>
      <c r="L110" s="203"/>
      <c r="O110" s="356" t="e">
        <f t="shared" si="49"/>
        <v>#DIV/0!</v>
      </c>
      <c r="P110" s="356">
        <f t="shared" si="49"/>
        <v>0</v>
      </c>
      <c r="Q110" s="356">
        <f t="shared" si="49"/>
        <v>0</v>
      </c>
      <c r="R110" s="356">
        <f t="shared" si="49"/>
        <v>0</v>
      </c>
      <c r="S110" s="356">
        <f t="shared" si="49"/>
        <v>0</v>
      </c>
      <c r="T110" s="356">
        <f t="shared" si="49"/>
        <v>0</v>
      </c>
      <c r="U110" s="356">
        <f t="shared" si="49"/>
        <v>0</v>
      </c>
      <c r="V110" s="356">
        <f t="shared" si="49"/>
        <v>0</v>
      </c>
      <c r="W110" s="356">
        <f t="shared" si="49"/>
        <v>0</v>
      </c>
      <c r="X110" s="356">
        <f t="shared" si="49"/>
        <v>0</v>
      </c>
      <c r="Y110" s="356">
        <f t="shared" si="49"/>
        <v>0</v>
      </c>
      <c r="Z110" s="356">
        <f t="shared" si="49"/>
        <v>0</v>
      </c>
      <c r="AA110" s="356">
        <f t="shared" si="49"/>
        <v>0</v>
      </c>
      <c r="AB110" s="356">
        <f t="shared" si="49"/>
        <v>0</v>
      </c>
      <c r="AC110" s="356">
        <f t="shared" si="49"/>
        <v>0</v>
      </c>
      <c r="AD110" s="356">
        <f t="shared" si="49"/>
        <v>0</v>
      </c>
      <c r="AE110" s="356">
        <f t="shared" si="48"/>
        <v>0</v>
      </c>
      <c r="AF110" s="356">
        <f t="shared" si="48"/>
        <v>0</v>
      </c>
      <c r="AG110" s="356">
        <f t="shared" si="48"/>
        <v>0</v>
      </c>
      <c r="AH110" s="356">
        <f t="shared" si="48"/>
        <v>0</v>
      </c>
      <c r="AI110" s="356">
        <f t="shared" si="48"/>
        <v>0</v>
      </c>
      <c r="AJ110" s="356">
        <f t="shared" si="48"/>
        <v>0</v>
      </c>
      <c r="AK110" s="356">
        <f t="shared" si="48"/>
        <v>0</v>
      </c>
      <c r="AL110" s="356">
        <f t="shared" si="48"/>
        <v>0</v>
      </c>
      <c r="AM110" s="356">
        <f t="shared" si="48"/>
        <v>0</v>
      </c>
      <c r="AN110" s="356">
        <f t="shared" si="48"/>
        <v>0</v>
      </c>
      <c r="AO110" s="356">
        <f t="shared" si="48"/>
        <v>0</v>
      </c>
      <c r="AP110" s="356">
        <f t="shared" si="48"/>
        <v>0</v>
      </c>
      <c r="AQ110" s="356">
        <f t="shared" si="48"/>
        <v>0</v>
      </c>
      <c r="AR110" s="356">
        <f t="shared" si="48"/>
        <v>0</v>
      </c>
      <c r="AS110" s="356">
        <f t="shared" si="48"/>
        <v>0</v>
      </c>
      <c r="AT110" s="356">
        <f t="shared" si="43"/>
        <v>0</v>
      </c>
      <c r="AU110" s="356">
        <f t="shared" si="43"/>
        <v>0</v>
      </c>
      <c r="AV110" s="356">
        <f t="shared" si="43"/>
        <v>0</v>
      </c>
      <c r="AW110" s="356">
        <f t="shared" si="43"/>
        <v>0</v>
      </c>
      <c r="AX110" s="356">
        <f t="shared" si="43"/>
        <v>0</v>
      </c>
      <c r="AY110" s="356">
        <f t="shared" si="43"/>
        <v>0</v>
      </c>
      <c r="AZ110" s="356">
        <f t="shared" si="43"/>
        <v>0</v>
      </c>
      <c r="BA110" s="356">
        <f t="shared" si="43"/>
        <v>0</v>
      </c>
      <c r="BB110" s="356">
        <f t="shared" si="43"/>
        <v>0</v>
      </c>
      <c r="BC110" s="344">
        <v>98</v>
      </c>
    </row>
    <row r="111" spans="1:55" x14ac:dyDescent="0.25">
      <c r="A111" s="1895"/>
      <c r="B111" s="1895"/>
      <c r="C111" s="2028"/>
      <c r="D111" s="1897"/>
      <c r="E111" s="1897"/>
      <c r="F111" s="1897"/>
      <c r="G111" s="358" t="str">
        <f t="shared" si="44"/>
        <v xml:space="preserve"> </v>
      </c>
      <c r="H111" s="1031">
        <f t="shared" si="45"/>
        <v>0</v>
      </c>
      <c r="I111" s="356" t="e">
        <f t="shared" si="46"/>
        <v>#DIV/0!</v>
      </c>
      <c r="J111" s="5" t="e">
        <f t="shared" si="40"/>
        <v>#DIV/0!</v>
      </c>
      <c r="K111" s="35" t="e">
        <f t="shared" si="47"/>
        <v>#DIV/0!</v>
      </c>
      <c r="L111" s="203"/>
      <c r="O111" s="356" t="e">
        <f t="shared" si="49"/>
        <v>#DIV/0!</v>
      </c>
      <c r="P111" s="356">
        <f t="shared" si="49"/>
        <v>0</v>
      </c>
      <c r="Q111" s="356">
        <f t="shared" si="49"/>
        <v>0</v>
      </c>
      <c r="R111" s="356">
        <f t="shared" si="49"/>
        <v>0</v>
      </c>
      <c r="S111" s="356">
        <f t="shared" si="49"/>
        <v>0</v>
      </c>
      <c r="T111" s="356">
        <f t="shared" si="49"/>
        <v>0</v>
      </c>
      <c r="U111" s="356">
        <f t="shared" si="49"/>
        <v>0</v>
      </c>
      <c r="V111" s="356">
        <f t="shared" si="49"/>
        <v>0</v>
      </c>
      <c r="W111" s="356">
        <f t="shared" si="49"/>
        <v>0</v>
      </c>
      <c r="X111" s="356">
        <f t="shared" si="49"/>
        <v>0</v>
      </c>
      <c r="Y111" s="356">
        <f t="shared" si="49"/>
        <v>0</v>
      </c>
      <c r="Z111" s="356">
        <f t="shared" si="49"/>
        <v>0</v>
      </c>
      <c r="AA111" s="356">
        <f t="shared" si="49"/>
        <v>0</v>
      </c>
      <c r="AB111" s="356">
        <f t="shared" si="49"/>
        <v>0</v>
      </c>
      <c r="AC111" s="356">
        <f t="shared" si="49"/>
        <v>0</v>
      </c>
      <c r="AD111" s="356">
        <f t="shared" si="49"/>
        <v>0</v>
      </c>
      <c r="AE111" s="356">
        <f t="shared" si="48"/>
        <v>0</v>
      </c>
      <c r="AF111" s="356">
        <f t="shared" si="48"/>
        <v>0</v>
      </c>
      <c r="AG111" s="356">
        <f t="shared" si="48"/>
        <v>0</v>
      </c>
      <c r="AH111" s="356">
        <f t="shared" si="48"/>
        <v>0</v>
      </c>
      <c r="AI111" s="356">
        <f t="shared" si="48"/>
        <v>0</v>
      </c>
      <c r="AJ111" s="356">
        <f t="shared" si="48"/>
        <v>0</v>
      </c>
      <c r="AK111" s="356">
        <f t="shared" si="48"/>
        <v>0</v>
      </c>
      <c r="AL111" s="356">
        <f t="shared" si="48"/>
        <v>0</v>
      </c>
      <c r="AM111" s="356">
        <f t="shared" si="48"/>
        <v>0</v>
      </c>
      <c r="AN111" s="356">
        <f t="shared" si="48"/>
        <v>0</v>
      </c>
      <c r="AO111" s="356">
        <f t="shared" si="48"/>
        <v>0</v>
      </c>
      <c r="AP111" s="356">
        <f t="shared" si="48"/>
        <v>0</v>
      </c>
      <c r="AQ111" s="356">
        <f t="shared" si="48"/>
        <v>0</v>
      </c>
      <c r="AR111" s="356">
        <f t="shared" si="48"/>
        <v>0</v>
      </c>
      <c r="AS111" s="356">
        <f t="shared" si="48"/>
        <v>0</v>
      </c>
      <c r="AT111" s="356">
        <f t="shared" si="43"/>
        <v>0</v>
      </c>
      <c r="AU111" s="356">
        <f t="shared" si="43"/>
        <v>0</v>
      </c>
      <c r="AV111" s="356">
        <f t="shared" si="43"/>
        <v>0</v>
      </c>
      <c r="AW111" s="356">
        <f t="shared" si="43"/>
        <v>0</v>
      </c>
      <c r="AX111" s="356">
        <f t="shared" si="43"/>
        <v>0</v>
      </c>
      <c r="AY111" s="356">
        <f t="shared" si="43"/>
        <v>0</v>
      </c>
      <c r="AZ111" s="356">
        <f t="shared" si="43"/>
        <v>0</v>
      </c>
      <c r="BA111" s="356">
        <f t="shared" si="43"/>
        <v>0</v>
      </c>
      <c r="BB111" s="356">
        <f t="shared" si="43"/>
        <v>0</v>
      </c>
      <c r="BC111" s="344">
        <v>99</v>
      </c>
    </row>
    <row r="112" spans="1:55" x14ac:dyDescent="0.25">
      <c r="A112" s="1895"/>
      <c r="B112" s="1895"/>
      <c r="C112" s="2028"/>
      <c r="D112" s="1897"/>
      <c r="E112" s="1897"/>
      <c r="F112" s="1897"/>
      <c r="G112" s="358" t="str">
        <f t="shared" si="44"/>
        <v xml:space="preserve"> </v>
      </c>
      <c r="H112" s="1031">
        <f t="shared" si="45"/>
        <v>0</v>
      </c>
      <c r="I112" s="356" t="e">
        <f t="shared" si="46"/>
        <v>#DIV/0!</v>
      </c>
      <c r="J112" s="5" t="e">
        <f t="shared" si="40"/>
        <v>#DIV/0!</v>
      </c>
      <c r="K112" s="35" t="e">
        <f t="shared" si="47"/>
        <v>#DIV/0!</v>
      </c>
      <c r="L112" s="203"/>
      <c r="O112" s="356" t="e">
        <f t="shared" si="49"/>
        <v>#DIV/0!</v>
      </c>
      <c r="P112" s="356">
        <f t="shared" si="49"/>
        <v>0</v>
      </c>
      <c r="Q112" s="356">
        <f t="shared" si="49"/>
        <v>0</v>
      </c>
      <c r="R112" s="356">
        <f t="shared" si="49"/>
        <v>0</v>
      </c>
      <c r="S112" s="356">
        <f t="shared" si="49"/>
        <v>0</v>
      </c>
      <c r="T112" s="356">
        <f t="shared" si="49"/>
        <v>0</v>
      </c>
      <c r="U112" s="356">
        <f t="shared" si="49"/>
        <v>0</v>
      </c>
      <c r="V112" s="356">
        <f t="shared" si="49"/>
        <v>0</v>
      </c>
      <c r="W112" s="356">
        <f t="shared" si="49"/>
        <v>0</v>
      </c>
      <c r="X112" s="356">
        <f t="shared" si="49"/>
        <v>0</v>
      </c>
      <c r="Y112" s="356">
        <f t="shared" si="49"/>
        <v>0</v>
      </c>
      <c r="Z112" s="356">
        <f t="shared" si="49"/>
        <v>0</v>
      </c>
      <c r="AA112" s="356">
        <f t="shared" si="49"/>
        <v>0</v>
      </c>
      <c r="AB112" s="356">
        <f t="shared" si="49"/>
        <v>0</v>
      </c>
      <c r="AC112" s="356">
        <f t="shared" si="49"/>
        <v>0</v>
      </c>
      <c r="AD112" s="356">
        <f t="shared" si="49"/>
        <v>0</v>
      </c>
      <c r="AE112" s="356">
        <f t="shared" si="48"/>
        <v>0</v>
      </c>
      <c r="AF112" s="356">
        <f t="shared" si="48"/>
        <v>0</v>
      </c>
      <c r="AG112" s="356">
        <f t="shared" si="48"/>
        <v>0</v>
      </c>
      <c r="AH112" s="356">
        <f t="shared" si="48"/>
        <v>0</v>
      </c>
      <c r="AI112" s="356">
        <f t="shared" si="48"/>
        <v>0</v>
      </c>
      <c r="AJ112" s="356">
        <f t="shared" si="48"/>
        <v>0</v>
      </c>
      <c r="AK112" s="356">
        <f t="shared" si="48"/>
        <v>0</v>
      </c>
      <c r="AL112" s="356">
        <f t="shared" si="48"/>
        <v>0</v>
      </c>
      <c r="AM112" s="356">
        <f t="shared" si="48"/>
        <v>0</v>
      </c>
      <c r="AN112" s="356">
        <f t="shared" si="48"/>
        <v>0</v>
      </c>
      <c r="AO112" s="356">
        <f t="shared" si="48"/>
        <v>0</v>
      </c>
      <c r="AP112" s="356">
        <f t="shared" si="48"/>
        <v>0</v>
      </c>
      <c r="AQ112" s="356">
        <f t="shared" si="48"/>
        <v>0</v>
      </c>
      <c r="AR112" s="356">
        <f t="shared" si="48"/>
        <v>0</v>
      </c>
      <c r="AS112" s="356">
        <f t="shared" si="48"/>
        <v>0</v>
      </c>
      <c r="AT112" s="356">
        <f t="shared" si="43"/>
        <v>0</v>
      </c>
      <c r="AU112" s="356">
        <f t="shared" si="43"/>
        <v>0</v>
      </c>
      <c r="AV112" s="356">
        <f t="shared" si="43"/>
        <v>0</v>
      </c>
      <c r="AW112" s="356">
        <f t="shared" si="43"/>
        <v>0</v>
      </c>
      <c r="AX112" s="356">
        <f t="shared" si="43"/>
        <v>0</v>
      </c>
      <c r="AY112" s="356">
        <f t="shared" si="43"/>
        <v>0</v>
      </c>
      <c r="AZ112" s="356">
        <f t="shared" si="43"/>
        <v>0</v>
      </c>
      <c r="BA112" s="356">
        <f t="shared" si="43"/>
        <v>0</v>
      </c>
      <c r="BB112" s="356">
        <f t="shared" si="43"/>
        <v>0</v>
      </c>
      <c r="BC112" s="344">
        <v>100</v>
      </c>
    </row>
    <row r="113" spans="1:55" x14ac:dyDescent="0.25">
      <c r="A113" s="1895"/>
      <c r="B113" s="1895"/>
      <c r="C113" s="2028"/>
      <c r="D113" s="1897"/>
      <c r="E113" s="1897"/>
      <c r="F113" s="1897"/>
      <c r="G113" s="358" t="str">
        <f t="shared" si="44"/>
        <v xml:space="preserve"> </v>
      </c>
      <c r="H113" s="1031">
        <f t="shared" si="45"/>
        <v>0</v>
      </c>
      <c r="I113" s="356" t="e">
        <f t="shared" si="46"/>
        <v>#DIV/0!</v>
      </c>
      <c r="J113" s="5" t="e">
        <f t="shared" si="40"/>
        <v>#DIV/0!</v>
      </c>
      <c r="K113" s="35" t="e">
        <f t="shared" si="47"/>
        <v>#DIV/0!</v>
      </c>
      <c r="L113" s="203"/>
      <c r="O113" s="356" t="e">
        <f t="shared" si="49"/>
        <v>#DIV/0!</v>
      </c>
      <c r="P113" s="356">
        <f t="shared" si="49"/>
        <v>0</v>
      </c>
      <c r="Q113" s="356">
        <f t="shared" si="49"/>
        <v>0</v>
      </c>
      <c r="R113" s="356">
        <f t="shared" si="49"/>
        <v>0</v>
      </c>
      <c r="S113" s="356">
        <f t="shared" si="49"/>
        <v>0</v>
      </c>
      <c r="T113" s="356">
        <f t="shared" si="49"/>
        <v>0</v>
      </c>
      <c r="U113" s="356">
        <f t="shared" si="49"/>
        <v>0</v>
      </c>
      <c r="V113" s="356">
        <f t="shared" si="49"/>
        <v>0</v>
      </c>
      <c r="W113" s="356">
        <f t="shared" si="49"/>
        <v>0</v>
      </c>
      <c r="X113" s="356">
        <f t="shared" si="49"/>
        <v>0</v>
      </c>
      <c r="Y113" s="356">
        <f t="shared" si="49"/>
        <v>0</v>
      </c>
      <c r="Z113" s="356">
        <f t="shared" si="49"/>
        <v>0</v>
      </c>
      <c r="AA113" s="356">
        <f t="shared" si="49"/>
        <v>0</v>
      </c>
      <c r="AB113" s="356">
        <f t="shared" si="49"/>
        <v>0</v>
      </c>
      <c r="AC113" s="356">
        <f t="shared" si="49"/>
        <v>0</v>
      </c>
      <c r="AD113" s="356">
        <f t="shared" si="49"/>
        <v>0</v>
      </c>
      <c r="AE113" s="356">
        <f t="shared" si="48"/>
        <v>0</v>
      </c>
      <c r="AF113" s="356">
        <f t="shared" si="48"/>
        <v>0</v>
      </c>
      <c r="AG113" s="356">
        <f t="shared" si="48"/>
        <v>0</v>
      </c>
      <c r="AH113" s="356">
        <f t="shared" si="48"/>
        <v>0</v>
      </c>
      <c r="AI113" s="356">
        <f t="shared" si="48"/>
        <v>0</v>
      </c>
      <c r="AJ113" s="356">
        <f t="shared" si="48"/>
        <v>0</v>
      </c>
      <c r="AK113" s="356">
        <f t="shared" si="48"/>
        <v>0</v>
      </c>
      <c r="AL113" s="356">
        <f t="shared" si="48"/>
        <v>0</v>
      </c>
      <c r="AM113" s="356">
        <f t="shared" si="48"/>
        <v>0</v>
      </c>
      <c r="AN113" s="356">
        <f t="shared" si="48"/>
        <v>0</v>
      </c>
      <c r="AO113" s="356">
        <f t="shared" si="48"/>
        <v>0</v>
      </c>
      <c r="AP113" s="356">
        <f t="shared" si="48"/>
        <v>0</v>
      </c>
      <c r="AQ113" s="356">
        <f t="shared" si="48"/>
        <v>0</v>
      </c>
      <c r="AR113" s="356">
        <f t="shared" si="48"/>
        <v>0</v>
      </c>
      <c r="AS113" s="356">
        <f t="shared" si="48"/>
        <v>0</v>
      </c>
      <c r="AT113" s="356">
        <f t="shared" si="43"/>
        <v>0</v>
      </c>
      <c r="AU113" s="356">
        <f t="shared" si="43"/>
        <v>0</v>
      </c>
      <c r="AV113" s="356">
        <f t="shared" si="43"/>
        <v>0</v>
      </c>
      <c r="AW113" s="356">
        <f t="shared" si="43"/>
        <v>0</v>
      </c>
      <c r="AX113" s="356">
        <f t="shared" si="43"/>
        <v>0</v>
      </c>
      <c r="AY113" s="356">
        <f t="shared" si="43"/>
        <v>0</v>
      </c>
      <c r="AZ113" s="356">
        <f t="shared" si="43"/>
        <v>0</v>
      </c>
      <c r="BA113" s="356">
        <f t="shared" si="43"/>
        <v>0</v>
      </c>
      <c r="BB113" s="356">
        <f t="shared" si="43"/>
        <v>0</v>
      </c>
      <c r="BC113" s="344">
        <v>101</v>
      </c>
    </row>
    <row r="114" spans="1:55" x14ac:dyDescent="0.25">
      <c r="A114" s="1895"/>
      <c r="B114" s="1895"/>
      <c r="C114" s="2028"/>
      <c r="D114" s="1897"/>
      <c r="E114" s="1897"/>
      <c r="F114" s="1897"/>
      <c r="G114" s="358" t="str">
        <f t="shared" si="44"/>
        <v xml:space="preserve"> </v>
      </c>
      <c r="H114" s="1031">
        <f t="shared" si="45"/>
        <v>0</v>
      </c>
      <c r="I114" s="356" t="e">
        <f t="shared" si="46"/>
        <v>#DIV/0!</v>
      </c>
      <c r="J114" s="5" t="e">
        <f t="shared" si="40"/>
        <v>#DIV/0!</v>
      </c>
      <c r="K114" s="35" t="e">
        <f t="shared" si="47"/>
        <v>#DIV/0!</v>
      </c>
      <c r="L114" s="203"/>
      <c r="O114" s="356" t="e">
        <f t="shared" si="49"/>
        <v>#DIV/0!</v>
      </c>
      <c r="P114" s="356">
        <f t="shared" si="49"/>
        <v>0</v>
      </c>
      <c r="Q114" s="356">
        <f t="shared" si="49"/>
        <v>0</v>
      </c>
      <c r="R114" s="356">
        <f t="shared" si="49"/>
        <v>0</v>
      </c>
      <c r="S114" s="356">
        <f t="shared" si="49"/>
        <v>0</v>
      </c>
      <c r="T114" s="356">
        <f t="shared" si="49"/>
        <v>0</v>
      </c>
      <c r="U114" s="356">
        <f t="shared" si="49"/>
        <v>0</v>
      </c>
      <c r="V114" s="356">
        <f t="shared" si="49"/>
        <v>0</v>
      </c>
      <c r="W114" s="356">
        <f t="shared" si="49"/>
        <v>0</v>
      </c>
      <c r="X114" s="356">
        <f t="shared" si="49"/>
        <v>0</v>
      </c>
      <c r="Y114" s="356">
        <f t="shared" si="49"/>
        <v>0</v>
      </c>
      <c r="Z114" s="356">
        <f t="shared" si="49"/>
        <v>0</v>
      </c>
      <c r="AA114" s="356">
        <f t="shared" si="49"/>
        <v>0</v>
      </c>
      <c r="AB114" s="356">
        <f t="shared" si="49"/>
        <v>0</v>
      </c>
      <c r="AC114" s="356">
        <f t="shared" si="49"/>
        <v>0</v>
      </c>
      <c r="AD114" s="356">
        <f t="shared" si="49"/>
        <v>0</v>
      </c>
      <c r="AE114" s="356">
        <f t="shared" si="48"/>
        <v>0</v>
      </c>
      <c r="AF114" s="356">
        <f t="shared" si="48"/>
        <v>0</v>
      </c>
      <c r="AG114" s="356">
        <f t="shared" si="48"/>
        <v>0</v>
      </c>
      <c r="AH114" s="356">
        <f t="shared" si="48"/>
        <v>0</v>
      </c>
      <c r="AI114" s="356">
        <f t="shared" si="48"/>
        <v>0</v>
      </c>
      <c r="AJ114" s="356">
        <f t="shared" si="48"/>
        <v>0</v>
      </c>
      <c r="AK114" s="356">
        <f t="shared" si="48"/>
        <v>0</v>
      </c>
      <c r="AL114" s="356">
        <f t="shared" si="48"/>
        <v>0</v>
      </c>
      <c r="AM114" s="356">
        <f t="shared" si="48"/>
        <v>0</v>
      </c>
      <c r="AN114" s="356">
        <f t="shared" si="48"/>
        <v>0</v>
      </c>
      <c r="AO114" s="356">
        <f t="shared" si="48"/>
        <v>0</v>
      </c>
      <c r="AP114" s="356">
        <f t="shared" si="48"/>
        <v>0</v>
      </c>
      <c r="AQ114" s="356">
        <f t="shared" si="48"/>
        <v>0</v>
      </c>
      <c r="AR114" s="356">
        <f t="shared" si="48"/>
        <v>0</v>
      </c>
      <c r="AS114" s="356">
        <f t="shared" si="48"/>
        <v>0</v>
      </c>
      <c r="AT114" s="356">
        <f t="shared" si="43"/>
        <v>0</v>
      </c>
      <c r="AU114" s="356">
        <f t="shared" si="43"/>
        <v>0</v>
      </c>
      <c r="AV114" s="356">
        <f t="shared" si="43"/>
        <v>0</v>
      </c>
      <c r="AW114" s="356">
        <f t="shared" si="43"/>
        <v>0</v>
      </c>
      <c r="AX114" s="356">
        <f t="shared" si="43"/>
        <v>0</v>
      </c>
      <c r="AY114" s="356">
        <f t="shared" si="43"/>
        <v>0</v>
      </c>
      <c r="AZ114" s="356">
        <f t="shared" si="43"/>
        <v>0</v>
      </c>
      <c r="BA114" s="356">
        <f t="shared" si="43"/>
        <v>0</v>
      </c>
      <c r="BB114" s="356">
        <f t="shared" si="43"/>
        <v>0</v>
      </c>
      <c r="BC114" s="344">
        <v>102</v>
      </c>
    </row>
    <row r="115" spans="1:55" x14ac:dyDescent="0.25">
      <c r="A115" s="1895"/>
      <c r="B115" s="1895"/>
      <c r="C115" s="2028"/>
      <c r="D115" s="1897"/>
      <c r="E115" s="1897"/>
      <c r="F115" s="1897"/>
      <c r="G115" s="358" t="str">
        <f t="shared" si="44"/>
        <v xml:space="preserve"> </v>
      </c>
      <c r="H115" s="1031">
        <f t="shared" si="45"/>
        <v>0</v>
      </c>
      <c r="I115" s="356" t="e">
        <f t="shared" si="46"/>
        <v>#DIV/0!</v>
      </c>
      <c r="J115" s="5" t="e">
        <f t="shared" si="40"/>
        <v>#DIV/0!</v>
      </c>
      <c r="K115" s="35" t="e">
        <f t="shared" si="47"/>
        <v>#DIV/0!</v>
      </c>
      <c r="L115" s="203"/>
      <c r="O115" s="356" t="e">
        <f t="shared" si="49"/>
        <v>#DIV/0!</v>
      </c>
      <c r="P115" s="356">
        <f t="shared" si="49"/>
        <v>0</v>
      </c>
      <c r="Q115" s="356">
        <f t="shared" si="49"/>
        <v>0</v>
      </c>
      <c r="R115" s="356">
        <f t="shared" si="49"/>
        <v>0</v>
      </c>
      <c r="S115" s="356">
        <f t="shared" si="49"/>
        <v>0</v>
      </c>
      <c r="T115" s="356">
        <f t="shared" si="49"/>
        <v>0</v>
      </c>
      <c r="U115" s="356">
        <f t="shared" si="49"/>
        <v>0</v>
      </c>
      <c r="V115" s="356">
        <f t="shared" si="49"/>
        <v>0</v>
      </c>
      <c r="W115" s="356">
        <f t="shared" si="49"/>
        <v>0</v>
      </c>
      <c r="X115" s="356">
        <f t="shared" si="49"/>
        <v>0</v>
      </c>
      <c r="Y115" s="356">
        <f t="shared" si="49"/>
        <v>0</v>
      </c>
      <c r="Z115" s="356">
        <f t="shared" si="49"/>
        <v>0</v>
      </c>
      <c r="AA115" s="356">
        <f t="shared" si="49"/>
        <v>0</v>
      </c>
      <c r="AB115" s="356">
        <f t="shared" si="49"/>
        <v>0</v>
      </c>
      <c r="AC115" s="356">
        <f t="shared" si="49"/>
        <v>0</v>
      </c>
      <c r="AD115" s="356">
        <f t="shared" si="49"/>
        <v>0</v>
      </c>
      <c r="AE115" s="356">
        <f t="shared" si="48"/>
        <v>0</v>
      </c>
      <c r="AF115" s="356">
        <f t="shared" si="48"/>
        <v>0</v>
      </c>
      <c r="AG115" s="356">
        <f t="shared" si="48"/>
        <v>0</v>
      </c>
      <c r="AH115" s="356">
        <f t="shared" si="48"/>
        <v>0</v>
      </c>
      <c r="AI115" s="356">
        <f t="shared" si="48"/>
        <v>0</v>
      </c>
      <c r="AJ115" s="356">
        <f t="shared" si="48"/>
        <v>0</v>
      </c>
      <c r="AK115" s="356">
        <f t="shared" si="48"/>
        <v>0</v>
      </c>
      <c r="AL115" s="356">
        <f t="shared" si="48"/>
        <v>0</v>
      </c>
      <c r="AM115" s="356">
        <f t="shared" si="48"/>
        <v>0</v>
      </c>
      <c r="AN115" s="356">
        <f t="shared" si="48"/>
        <v>0</v>
      </c>
      <c r="AO115" s="356">
        <f t="shared" si="48"/>
        <v>0</v>
      </c>
      <c r="AP115" s="356">
        <f t="shared" si="48"/>
        <v>0</v>
      </c>
      <c r="AQ115" s="356">
        <f t="shared" si="48"/>
        <v>0</v>
      </c>
      <c r="AR115" s="356">
        <f t="shared" si="48"/>
        <v>0</v>
      </c>
      <c r="AS115" s="356">
        <f t="shared" si="48"/>
        <v>0</v>
      </c>
      <c r="AT115" s="356">
        <f t="shared" si="43"/>
        <v>0</v>
      </c>
      <c r="AU115" s="356">
        <f t="shared" si="43"/>
        <v>0</v>
      </c>
      <c r="AV115" s="356">
        <f t="shared" si="43"/>
        <v>0</v>
      </c>
      <c r="AW115" s="356">
        <f t="shared" si="43"/>
        <v>0</v>
      </c>
      <c r="AX115" s="356">
        <f t="shared" si="43"/>
        <v>0</v>
      </c>
      <c r="AY115" s="356">
        <f t="shared" si="43"/>
        <v>0</v>
      </c>
      <c r="AZ115" s="356">
        <f t="shared" si="43"/>
        <v>0</v>
      </c>
      <c r="BA115" s="356">
        <f t="shared" si="43"/>
        <v>0</v>
      </c>
      <c r="BB115" s="356">
        <f t="shared" si="43"/>
        <v>0</v>
      </c>
      <c r="BC115" s="344">
        <v>103</v>
      </c>
    </row>
    <row r="116" spans="1:55" x14ac:dyDescent="0.25">
      <c r="A116" s="1895"/>
      <c r="B116" s="1895"/>
      <c r="C116" s="2028"/>
      <c r="D116" s="1897"/>
      <c r="E116" s="1897"/>
      <c r="F116" s="1897"/>
      <c r="G116" s="358" t="str">
        <f t="shared" si="44"/>
        <v xml:space="preserve"> </v>
      </c>
      <c r="H116" s="1031">
        <f t="shared" si="45"/>
        <v>0</v>
      </c>
      <c r="I116" s="356" t="e">
        <f t="shared" si="46"/>
        <v>#DIV/0!</v>
      </c>
      <c r="J116" s="5" t="e">
        <f t="shared" si="40"/>
        <v>#DIV/0!</v>
      </c>
      <c r="K116" s="35" t="e">
        <f t="shared" si="47"/>
        <v>#DIV/0!</v>
      </c>
      <c r="L116" s="203"/>
      <c r="O116" s="356" t="e">
        <f t="shared" si="49"/>
        <v>#DIV/0!</v>
      </c>
      <c r="P116" s="356">
        <f t="shared" si="49"/>
        <v>0</v>
      </c>
      <c r="Q116" s="356">
        <f t="shared" si="49"/>
        <v>0</v>
      </c>
      <c r="R116" s="356">
        <f t="shared" si="49"/>
        <v>0</v>
      </c>
      <c r="S116" s="356">
        <f t="shared" si="49"/>
        <v>0</v>
      </c>
      <c r="T116" s="356">
        <f t="shared" si="49"/>
        <v>0</v>
      </c>
      <c r="U116" s="356">
        <f t="shared" si="49"/>
        <v>0</v>
      </c>
      <c r="V116" s="356">
        <f t="shared" si="49"/>
        <v>0</v>
      </c>
      <c r="W116" s="356">
        <f t="shared" si="49"/>
        <v>0</v>
      </c>
      <c r="X116" s="356">
        <f t="shared" si="49"/>
        <v>0</v>
      </c>
      <c r="Y116" s="356">
        <f t="shared" si="49"/>
        <v>0</v>
      </c>
      <c r="Z116" s="356">
        <f t="shared" si="49"/>
        <v>0</v>
      </c>
      <c r="AA116" s="356">
        <f t="shared" si="49"/>
        <v>0</v>
      </c>
      <c r="AB116" s="356">
        <f t="shared" si="49"/>
        <v>0</v>
      </c>
      <c r="AC116" s="356">
        <f t="shared" si="49"/>
        <v>0</v>
      </c>
      <c r="AD116" s="356">
        <f t="shared" ref="AD116:BB116" si="50">IF($H116=AD$13,(($B116-1)/12)*SLN($D116,$E116,$F116),IF($C116=AD$13,((12-$G116)/12)*SLN($D116,$E116,$F116),IF(AND(AD$13&gt;$C116,AD$13&lt;$H116),SLN($D116,$E116,$F116),0)))</f>
        <v>0</v>
      </c>
      <c r="AE116" s="356">
        <f t="shared" si="50"/>
        <v>0</v>
      </c>
      <c r="AF116" s="356">
        <f t="shared" si="50"/>
        <v>0</v>
      </c>
      <c r="AG116" s="356">
        <f t="shared" si="50"/>
        <v>0</v>
      </c>
      <c r="AH116" s="356">
        <f t="shared" si="50"/>
        <v>0</v>
      </c>
      <c r="AI116" s="356">
        <f t="shared" si="50"/>
        <v>0</v>
      </c>
      <c r="AJ116" s="356">
        <f t="shared" si="50"/>
        <v>0</v>
      </c>
      <c r="AK116" s="356">
        <f t="shared" si="50"/>
        <v>0</v>
      </c>
      <c r="AL116" s="356">
        <f t="shared" si="50"/>
        <v>0</v>
      </c>
      <c r="AM116" s="356">
        <f t="shared" si="50"/>
        <v>0</v>
      </c>
      <c r="AN116" s="356">
        <f t="shared" si="50"/>
        <v>0</v>
      </c>
      <c r="AO116" s="356">
        <f t="shared" si="50"/>
        <v>0</v>
      </c>
      <c r="AP116" s="356">
        <f t="shared" si="50"/>
        <v>0</v>
      </c>
      <c r="AQ116" s="356">
        <f t="shared" si="50"/>
        <v>0</v>
      </c>
      <c r="AR116" s="356">
        <f t="shared" si="50"/>
        <v>0</v>
      </c>
      <c r="AS116" s="356">
        <f t="shared" si="50"/>
        <v>0</v>
      </c>
      <c r="AT116" s="356">
        <f t="shared" si="50"/>
        <v>0</v>
      </c>
      <c r="AU116" s="356">
        <f t="shared" si="50"/>
        <v>0</v>
      </c>
      <c r="AV116" s="356">
        <f t="shared" si="50"/>
        <v>0</v>
      </c>
      <c r="AW116" s="356">
        <f t="shared" si="50"/>
        <v>0</v>
      </c>
      <c r="AX116" s="356">
        <f t="shared" si="50"/>
        <v>0</v>
      </c>
      <c r="AY116" s="356">
        <f t="shared" si="50"/>
        <v>0</v>
      </c>
      <c r="AZ116" s="356">
        <f t="shared" si="50"/>
        <v>0</v>
      </c>
      <c r="BA116" s="356">
        <f t="shared" si="50"/>
        <v>0</v>
      </c>
      <c r="BB116" s="356">
        <f t="shared" si="50"/>
        <v>0</v>
      </c>
      <c r="BC116" s="344">
        <v>104</v>
      </c>
    </row>
  </sheetData>
  <sheetProtection sheet="1" objects="1" scenarios="1" selectLockedCells="1"/>
  <mergeCells count="11">
    <mergeCell ref="I11:K11"/>
    <mergeCell ref="L11:L12"/>
    <mergeCell ref="A2:L2"/>
    <mergeCell ref="A1:L1"/>
    <mergeCell ref="C5:D9"/>
    <mergeCell ref="C4:H4"/>
    <mergeCell ref="E7:H7"/>
    <mergeCell ref="E6:H6"/>
    <mergeCell ref="E5:H5"/>
    <mergeCell ref="E9:H9"/>
    <mergeCell ref="E8:H8"/>
  </mergeCells>
  <pageMargins left="0.7" right="0.7" top="0.75" bottom="0.75" header="0.3" footer="0.3"/>
  <pageSetup orientation="portrait" horizontalDpi="4294967293"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6DE9F-C708-4379-B23E-727EC07A3EE5}">
  <sheetPr>
    <tabColor rgb="FFFFFF81"/>
  </sheetPr>
  <dimension ref="B1:I15"/>
  <sheetViews>
    <sheetView showGridLines="0" zoomScaleNormal="100" workbookViewId="0">
      <selection activeCell="C11" sqref="C11"/>
    </sheetView>
  </sheetViews>
  <sheetFormatPr defaultRowHeight="15" x14ac:dyDescent="0.25"/>
  <cols>
    <col min="2" max="2" width="13.28515625" customWidth="1"/>
    <col min="3" max="3" width="12.7109375" style="391" customWidth="1"/>
    <col min="4" max="4" width="10.7109375" style="391" customWidth="1"/>
    <col min="5" max="9" width="13.7109375" customWidth="1"/>
  </cols>
  <sheetData>
    <row r="1" spans="2:9" s="391" customFormat="1" ht="33.4" customHeight="1" thickTop="1" x14ac:dyDescent="0.25">
      <c r="B1" s="1779" t="s">
        <v>763</v>
      </c>
      <c r="C1" s="1780"/>
      <c r="D1" s="1780"/>
      <c r="E1" s="1780"/>
      <c r="F1" s="1780"/>
      <c r="G1" s="1780"/>
      <c r="H1" s="1780"/>
      <c r="I1" s="1781"/>
    </row>
    <row r="2" spans="2:9" s="391" customFormat="1" ht="18.75" x14ac:dyDescent="0.3">
      <c r="B2" s="484"/>
      <c r="C2" s="203"/>
      <c r="D2" s="203"/>
      <c r="E2" s="203"/>
      <c r="F2" s="485" t="s">
        <v>740</v>
      </c>
      <c r="G2" s="2020">
        <v>0</v>
      </c>
      <c r="H2" s="203"/>
      <c r="I2" s="361"/>
    </row>
    <row r="3" spans="2:9" s="391" customFormat="1" x14ac:dyDescent="0.25">
      <c r="B3" s="484"/>
      <c r="C3" s="203"/>
      <c r="D3" s="203"/>
      <c r="E3" s="203"/>
      <c r="F3" s="203"/>
      <c r="G3" s="203"/>
      <c r="H3" s="203"/>
      <c r="I3" s="361"/>
    </row>
    <row r="4" spans="2:9" ht="18.75" x14ac:dyDescent="0.3">
      <c r="B4" s="484"/>
      <c r="C4" s="203"/>
      <c r="D4" s="203"/>
      <c r="E4" s="1782" t="s">
        <v>764</v>
      </c>
      <c r="F4" s="1783"/>
      <c r="G4" s="1783"/>
      <c r="H4" s="1784"/>
      <c r="I4" s="494" t="str">
        <f>IF('Input Sheet'!C6="Milk","Milk",IF('Input Sheet'!C6="Corn","Corn",IF('Input Sheet'!C6="Soybeans","Soybeans",IF('Input Sheet'!C6="Cattle","Cattle","Other"))))</f>
        <v>Other</v>
      </c>
    </row>
    <row r="5" spans="2:9" s="391" customFormat="1" x14ac:dyDescent="0.25">
      <c r="B5" s="484"/>
      <c r="C5" s="203"/>
      <c r="D5" s="203"/>
      <c r="E5" s="2021"/>
      <c r="F5" s="2021"/>
      <c r="G5" s="2023">
        <v>0</v>
      </c>
      <c r="H5" s="2021"/>
      <c r="I5" s="2022"/>
    </row>
    <row r="6" spans="2:9" ht="15.75" thickBot="1" x14ac:dyDescent="0.3">
      <c r="B6" s="484"/>
      <c r="C6" s="203"/>
      <c r="D6" s="203"/>
      <c r="E6" s="57">
        <f t="shared" ref="E6:F6" si="0">($G$6*E5)+$G$6</f>
        <v>0</v>
      </c>
      <c r="F6" s="57">
        <f t="shared" si="0"/>
        <v>0</v>
      </c>
      <c r="G6" s="498">
        <f>'Cost of Production Summary'!I11</f>
        <v>0</v>
      </c>
      <c r="H6" s="57">
        <f>($G$6*H5)+$G$6</f>
        <v>0</v>
      </c>
      <c r="I6" s="499">
        <f>($G$6*I5)+$G$6</f>
        <v>0</v>
      </c>
    </row>
    <row r="7" spans="2:9" ht="15.75" thickTop="1" x14ac:dyDescent="0.25">
      <c r="B7" s="1777" t="s">
        <v>765</v>
      </c>
      <c r="C7" s="2021"/>
      <c r="D7" s="495" t="e">
        <f>($D$9*C7)+$D$9</f>
        <v>#VALUE!</v>
      </c>
      <c r="E7" s="500" t="e">
        <f t="shared" ref="E7:I11" si="1">($G$2+E$6)/$D7</f>
        <v>#VALUE!</v>
      </c>
      <c r="F7" s="501" t="e">
        <f t="shared" si="1"/>
        <v>#VALUE!</v>
      </c>
      <c r="G7" s="501" t="e">
        <f t="shared" si="1"/>
        <v>#VALUE!</v>
      </c>
      <c r="H7" s="501" t="e">
        <f t="shared" si="1"/>
        <v>#VALUE!</v>
      </c>
      <c r="I7" s="502" t="e">
        <f t="shared" si="1"/>
        <v>#VALUE!</v>
      </c>
    </row>
    <row r="8" spans="2:9" x14ac:dyDescent="0.25">
      <c r="B8" s="1777"/>
      <c r="C8" s="2021"/>
      <c r="D8" s="495" t="e">
        <f>($D$9*C8)+$D$9</f>
        <v>#VALUE!</v>
      </c>
      <c r="E8" s="503" t="e">
        <f t="shared" si="1"/>
        <v>#VALUE!</v>
      </c>
      <c r="F8" s="283" t="e">
        <f t="shared" si="1"/>
        <v>#VALUE!</v>
      </c>
      <c r="G8" s="283" t="e">
        <f t="shared" si="1"/>
        <v>#VALUE!</v>
      </c>
      <c r="H8" s="283" t="e">
        <f t="shared" si="1"/>
        <v>#VALUE!</v>
      </c>
      <c r="I8" s="486" t="e">
        <f t="shared" si="1"/>
        <v>#VALUE!</v>
      </c>
    </row>
    <row r="9" spans="2:9" x14ac:dyDescent="0.25">
      <c r="B9" s="1777"/>
      <c r="C9" s="288">
        <v>0</v>
      </c>
      <c r="D9" s="496" t="str">
        <f>'Cost of Production Summary'!E4</f>
        <v>Other</v>
      </c>
      <c r="E9" s="503" t="e">
        <f t="shared" si="1"/>
        <v>#VALUE!</v>
      </c>
      <c r="F9" s="283" t="e">
        <f t="shared" si="1"/>
        <v>#VALUE!</v>
      </c>
      <c r="G9" s="505" t="e">
        <f t="shared" si="1"/>
        <v>#VALUE!</v>
      </c>
      <c r="H9" s="283" t="e">
        <f t="shared" si="1"/>
        <v>#VALUE!</v>
      </c>
      <c r="I9" s="486" t="e">
        <f t="shared" si="1"/>
        <v>#VALUE!</v>
      </c>
    </row>
    <row r="10" spans="2:9" x14ac:dyDescent="0.25">
      <c r="B10" s="1777"/>
      <c r="C10" s="2021"/>
      <c r="D10" s="495" t="e">
        <f>($D$9*C10)+$D$9</f>
        <v>#VALUE!</v>
      </c>
      <c r="E10" s="503" t="e">
        <f t="shared" si="1"/>
        <v>#VALUE!</v>
      </c>
      <c r="F10" s="283" t="e">
        <f t="shared" si="1"/>
        <v>#VALUE!</v>
      </c>
      <c r="G10" s="283" t="e">
        <f t="shared" si="1"/>
        <v>#VALUE!</v>
      </c>
      <c r="H10" s="283" t="e">
        <f t="shared" si="1"/>
        <v>#VALUE!</v>
      </c>
      <c r="I10" s="486" t="e">
        <f t="shared" si="1"/>
        <v>#VALUE!</v>
      </c>
    </row>
    <row r="11" spans="2:9" ht="15.75" thickBot="1" x14ac:dyDescent="0.3">
      <c r="B11" s="1778"/>
      <c r="C11" s="2024"/>
      <c r="D11" s="497" t="e">
        <f>($D$9*C11)+$D$9</f>
        <v>#VALUE!</v>
      </c>
      <c r="E11" s="504" t="e">
        <f t="shared" si="1"/>
        <v>#VALUE!</v>
      </c>
      <c r="F11" s="487" t="e">
        <f t="shared" si="1"/>
        <v>#VALUE!</v>
      </c>
      <c r="G11" s="487" t="e">
        <f t="shared" si="1"/>
        <v>#VALUE!</v>
      </c>
      <c r="H11" s="487" t="e">
        <f t="shared" si="1"/>
        <v>#VALUE!</v>
      </c>
      <c r="I11" s="488" t="e">
        <f t="shared" si="1"/>
        <v>#VALUE!</v>
      </c>
    </row>
    <row r="12" spans="2:9" ht="15.75" thickTop="1" x14ac:dyDescent="0.25"/>
    <row r="13" spans="2:9" x14ac:dyDescent="0.25">
      <c r="C13" s="489"/>
      <c r="D13" s="391" t="s">
        <v>742</v>
      </c>
    </row>
    <row r="15" spans="2:9" x14ac:dyDescent="0.25">
      <c r="B15" s="391" t="s">
        <v>766</v>
      </c>
    </row>
  </sheetData>
  <sheetProtection sheet="1" objects="1" scenarios="1" selectLockedCells="1"/>
  <mergeCells count="3">
    <mergeCell ref="B7:B11"/>
    <mergeCell ref="B1:I1"/>
    <mergeCell ref="E4:H4"/>
  </mergeCell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5CFB3-2B06-404A-85EB-534506AB9AA2}">
  <sheetPr>
    <tabColor theme="6" tint="0.39997558519241921"/>
  </sheetPr>
  <dimension ref="A1:O75"/>
  <sheetViews>
    <sheetView showGridLines="0" topLeftCell="A8" zoomScaleNormal="100" workbookViewId="0">
      <selection activeCell="E45" sqref="E45"/>
    </sheetView>
  </sheetViews>
  <sheetFormatPr defaultColWidth="8.85546875" defaultRowHeight="15" x14ac:dyDescent="0.25"/>
  <cols>
    <col min="1" max="1" width="2.5703125" style="237" customWidth="1"/>
    <col min="2" max="3" width="2.5703125" style="321" customWidth="1"/>
    <col min="4" max="4" width="59.140625" style="321" customWidth="1"/>
    <col min="5" max="5" width="23.5703125" style="1" customWidth="1"/>
    <col min="6" max="6" width="15.7109375" style="1" customWidth="1"/>
    <col min="7" max="7" width="11.42578125" style="1" customWidth="1"/>
    <col min="8" max="8" width="9.5703125" style="321" customWidth="1"/>
    <col min="9" max="10" width="8.85546875" style="321"/>
    <col min="11" max="11" width="9.42578125" style="321" bestFit="1" customWidth="1"/>
    <col min="12" max="16384" width="8.85546875" style="321"/>
  </cols>
  <sheetData>
    <row r="1" spans="1:9" ht="31.5" x14ac:dyDescent="0.5">
      <c r="A1" s="435">
        <v>1</v>
      </c>
      <c r="B1" s="1787" t="s">
        <v>458</v>
      </c>
      <c r="C1" s="1788"/>
      <c r="D1" s="1788"/>
      <c r="E1" s="1789"/>
    </row>
    <row r="2" spans="1:9" ht="26.25" x14ac:dyDescent="0.25">
      <c r="A2" s="435">
        <v>2</v>
      </c>
      <c r="B2" s="1310"/>
      <c r="C2" s="1785">
        <f>'Input Sheet'!C4</f>
        <v>0</v>
      </c>
      <c r="D2" s="1786"/>
      <c r="E2" s="1301">
        <f>'Input Sheet'!C9</f>
        <v>0</v>
      </c>
      <c r="F2" s="800"/>
      <c r="G2" s="326"/>
    </row>
    <row r="3" spans="1:9" ht="15.75" x14ac:dyDescent="0.25">
      <c r="A3" s="435">
        <v>3</v>
      </c>
      <c r="B3" s="1311" t="s">
        <v>493</v>
      </c>
      <c r="C3" s="556"/>
      <c r="D3" s="1263"/>
      <c r="E3" s="1302"/>
      <c r="F3" s="801"/>
    </row>
    <row r="4" spans="1:9" x14ac:dyDescent="0.25">
      <c r="A4" s="435">
        <v>4</v>
      </c>
      <c r="B4" s="567"/>
      <c r="C4" s="1312" t="s">
        <v>566</v>
      </c>
      <c r="D4" s="1263"/>
      <c r="E4" s="527"/>
    </row>
    <row r="5" spans="1:9" x14ac:dyDescent="0.25">
      <c r="A5" s="435">
        <v>5</v>
      </c>
      <c r="B5" s="567"/>
      <c r="C5" s="556"/>
      <c r="D5" s="1263" t="s">
        <v>459</v>
      </c>
      <c r="E5" s="1303">
        <f>'Income Statement'!F8+'Income Statement'!F5</f>
        <v>0</v>
      </c>
      <c r="F5" s="321"/>
      <c r="G5" s="327"/>
    </row>
    <row r="6" spans="1:9" x14ac:dyDescent="0.25">
      <c r="A6" s="435">
        <v>6</v>
      </c>
      <c r="B6" s="567"/>
      <c r="C6" s="556"/>
      <c r="D6" s="1263" t="s">
        <v>460</v>
      </c>
      <c r="E6" s="1303">
        <f>'Income Statement'!F9</f>
        <v>0</v>
      </c>
      <c r="F6" s="327"/>
      <c r="G6" s="327"/>
    </row>
    <row r="7" spans="1:9" x14ac:dyDescent="0.25">
      <c r="A7" s="435">
        <v>7</v>
      </c>
      <c r="B7" s="567"/>
      <c r="C7" s="556"/>
      <c r="D7" s="1263" t="s">
        <v>461</v>
      </c>
      <c r="E7" s="1303">
        <f>SUM('Income Statement'!F10:'Income Statement'!F13)</f>
        <v>0</v>
      </c>
      <c r="F7" s="327"/>
      <c r="G7" s="327"/>
    </row>
    <row r="8" spans="1:9" x14ac:dyDescent="0.25">
      <c r="A8" s="435">
        <v>8</v>
      </c>
      <c r="B8" s="567"/>
      <c r="C8" s="556"/>
      <c r="D8" s="1263" t="s">
        <v>269</v>
      </c>
      <c r="E8" s="1303">
        <f>'Income Statement'!F14</f>
        <v>0</v>
      </c>
      <c r="F8" s="327"/>
      <c r="G8" s="327"/>
    </row>
    <row r="9" spans="1:9" s="372" customFormat="1" x14ac:dyDescent="0.25">
      <c r="A9" s="435">
        <v>9</v>
      </c>
      <c r="B9" s="567"/>
      <c r="C9" s="556"/>
      <c r="D9" s="1263" t="s">
        <v>567</v>
      </c>
      <c r="E9" s="1303">
        <f>'Income Statement'!F16</f>
        <v>0</v>
      </c>
      <c r="F9" s="327"/>
      <c r="G9" s="327"/>
    </row>
    <row r="10" spans="1:9" x14ac:dyDescent="0.25">
      <c r="A10" s="435">
        <v>10</v>
      </c>
      <c r="B10" s="567"/>
      <c r="C10" s="556"/>
      <c r="D10" s="1263" t="s">
        <v>1164</v>
      </c>
      <c r="E10" s="1304">
        <f>'Income Statement'!F17</f>
        <v>0</v>
      </c>
      <c r="F10" s="328"/>
      <c r="G10" s="328"/>
      <c r="H10" s="271"/>
      <c r="I10" s="271"/>
    </row>
    <row r="11" spans="1:9" x14ac:dyDescent="0.25">
      <c r="A11" s="435">
        <v>11</v>
      </c>
      <c r="B11" s="567"/>
      <c r="C11" s="1312" t="s">
        <v>579</v>
      </c>
      <c r="D11" s="1263"/>
      <c r="E11" s="1304"/>
      <c r="F11" s="328"/>
      <c r="G11" s="328"/>
    </row>
    <row r="12" spans="1:9" s="372" customFormat="1" x14ac:dyDescent="0.25">
      <c r="A12" s="435">
        <v>12</v>
      </c>
      <c r="B12" s="567"/>
      <c r="C12" s="556"/>
      <c r="D12" s="1263" t="s">
        <v>568</v>
      </c>
      <c r="E12" s="1305">
        <f>'Income Statement'!F6</f>
        <v>0</v>
      </c>
      <c r="F12" s="328"/>
      <c r="G12" s="328"/>
    </row>
    <row r="13" spans="1:9" x14ac:dyDescent="0.25">
      <c r="A13" s="435">
        <v>13</v>
      </c>
      <c r="B13" s="567"/>
      <c r="C13" s="556"/>
      <c r="D13" s="1263" t="s">
        <v>718</v>
      </c>
      <c r="E13" s="1305">
        <f>'Income Statement'!F52-'Income Statement'!F49</f>
        <v>0</v>
      </c>
      <c r="F13" s="321"/>
      <c r="G13" s="328"/>
    </row>
    <row r="14" spans="1:9" x14ac:dyDescent="0.25">
      <c r="A14" s="435">
        <v>14</v>
      </c>
      <c r="B14" s="567"/>
      <c r="C14" s="556"/>
      <c r="D14" s="1263" t="s">
        <v>462</v>
      </c>
      <c r="E14" s="1305">
        <f>'Income Statement'!F71</f>
        <v>0</v>
      </c>
      <c r="F14" s="321"/>
      <c r="G14" s="328"/>
    </row>
    <row r="15" spans="1:9" x14ac:dyDescent="0.25">
      <c r="A15" s="435">
        <v>15</v>
      </c>
      <c r="B15" s="567"/>
      <c r="C15" s="556"/>
      <c r="D15" s="1263" t="s">
        <v>463</v>
      </c>
      <c r="E15" s="1305">
        <f>'Income Statement'!F63</f>
        <v>0</v>
      </c>
      <c r="G15" s="328"/>
    </row>
    <row r="16" spans="1:9" ht="15.75" x14ac:dyDescent="0.25">
      <c r="A16" s="435">
        <v>16</v>
      </c>
      <c r="B16" s="567"/>
      <c r="C16" s="556"/>
      <c r="D16" s="1313" t="s">
        <v>464</v>
      </c>
      <c r="E16" s="1306">
        <f>SUM(E5:E10)-SUM(E12:E15)</f>
        <v>0</v>
      </c>
      <c r="F16" s="329"/>
      <c r="G16" s="329"/>
    </row>
    <row r="17" spans="1:9" ht="15.75" x14ac:dyDescent="0.25">
      <c r="A17" s="435">
        <v>17</v>
      </c>
      <c r="B17" s="1311" t="s">
        <v>1163</v>
      </c>
      <c r="C17" s="556"/>
      <c r="D17" s="1263"/>
      <c r="E17" s="1304"/>
      <c r="F17" s="328"/>
      <c r="G17" s="328"/>
    </row>
    <row r="18" spans="1:9" x14ac:dyDescent="0.25">
      <c r="A18" s="435">
        <v>18</v>
      </c>
      <c r="B18" s="567"/>
      <c r="C18" s="1312" t="s">
        <v>566</v>
      </c>
      <c r="D18" s="1263"/>
      <c r="E18" s="1304"/>
      <c r="F18" s="328"/>
      <c r="G18" s="328"/>
    </row>
    <row r="19" spans="1:9" x14ac:dyDescent="0.25">
      <c r="A19" s="435">
        <v>19</v>
      </c>
      <c r="B19" s="567"/>
      <c r="C19" s="556"/>
      <c r="D19" s="1263" t="s">
        <v>588</v>
      </c>
      <c r="E19" s="1304">
        <f>'Input Sheet'!C74+'Input Sheet'!C75</f>
        <v>0</v>
      </c>
      <c r="F19" s="328"/>
      <c r="G19" s="328"/>
      <c r="I19" s="271"/>
    </row>
    <row r="20" spans="1:9" x14ac:dyDescent="0.25">
      <c r="A20" s="435">
        <v>20</v>
      </c>
      <c r="B20" s="567"/>
      <c r="C20" s="556"/>
      <c r="D20" s="1263" t="s">
        <v>589</v>
      </c>
      <c r="E20" s="1304">
        <f>'Input Sheet'!C76</f>
        <v>0</v>
      </c>
      <c r="F20" s="328"/>
      <c r="G20" s="328"/>
    </row>
    <row r="21" spans="1:9" x14ac:dyDescent="0.25">
      <c r="A21" s="435">
        <v>21</v>
      </c>
      <c r="B21" s="567"/>
      <c r="C21" s="556"/>
      <c r="D21" s="1314" t="s">
        <v>706</v>
      </c>
      <c r="E21" s="1304">
        <f>'Input Sheet'!C77</f>
        <v>0</v>
      </c>
      <c r="F21" s="328"/>
      <c r="G21" s="328"/>
    </row>
    <row r="22" spans="1:9" s="391" customFormat="1" x14ac:dyDescent="0.25">
      <c r="A22" s="435">
        <v>22</v>
      </c>
      <c r="B22" s="567"/>
      <c r="C22" s="556"/>
      <c r="D22" s="1314" t="s">
        <v>707</v>
      </c>
      <c r="E22" s="1304">
        <f>'Input Sheet'!C78</f>
        <v>0</v>
      </c>
      <c r="F22" s="328"/>
      <c r="G22" s="328"/>
    </row>
    <row r="23" spans="1:9" x14ac:dyDescent="0.25">
      <c r="A23" s="435">
        <v>23</v>
      </c>
      <c r="B23" s="567"/>
      <c r="C23" s="556"/>
      <c r="D23" s="1263" t="s">
        <v>1118</v>
      </c>
      <c r="E23" s="1304">
        <f>'Input Sheet'!C79</f>
        <v>0</v>
      </c>
      <c r="F23" s="330"/>
      <c r="G23" s="330"/>
    </row>
    <row r="24" spans="1:9" x14ac:dyDescent="0.25">
      <c r="A24" s="435">
        <v>24</v>
      </c>
      <c r="B24" s="567"/>
      <c r="C24" s="1312" t="s">
        <v>579</v>
      </c>
      <c r="D24" s="1263"/>
      <c r="E24" s="1304"/>
      <c r="F24" s="330"/>
      <c r="G24" s="330"/>
    </row>
    <row r="25" spans="1:9" x14ac:dyDescent="0.25">
      <c r="A25" s="435">
        <v>25</v>
      </c>
      <c r="B25" s="567"/>
      <c r="C25" s="556"/>
      <c r="D25" s="1263" t="s">
        <v>590</v>
      </c>
      <c r="E25" s="1305">
        <f>'Input Sheet'!C81</f>
        <v>0</v>
      </c>
      <c r="F25" s="330"/>
      <c r="G25" s="330"/>
      <c r="H25" s="330"/>
    </row>
    <row r="26" spans="1:9" x14ac:dyDescent="0.25">
      <c r="A26" s="435">
        <v>26</v>
      </c>
      <c r="B26" s="567"/>
      <c r="C26" s="556"/>
      <c r="D26" s="1263" t="s">
        <v>591</v>
      </c>
      <c r="E26" s="1305">
        <f>'Input Sheet'!C82</f>
        <v>0</v>
      </c>
      <c r="F26" s="330"/>
      <c r="G26" s="330"/>
      <c r="H26" s="271"/>
    </row>
    <row r="27" spans="1:9" x14ac:dyDescent="0.25">
      <c r="A27" s="435">
        <v>27</v>
      </c>
      <c r="B27" s="567"/>
      <c r="C27" s="556"/>
      <c r="D27" s="1314" t="s">
        <v>708</v>
      </c>
      <c r="E27" s="1305">
        <f>'Input Sheet'!C83</f>
        <v>0</v>
      </c>
      <c r="F27" s="330"/>
      <c r="G27" s="330"/>
      <c r="I27" s="271"/>
    </row>
    <row r="28" spans="1:9" s="391" customFormat="1" x14ac:dyDescent="0.25">
      <c r="A28" s="435">
        <v>28</v>
      </c>
      <c r="B28" s="567"/>
      <c r="C28" s="556"/>
      <c r="D28" s="1314" t="s">
        <v>709</v>
      </c>
      <c r="E28" s="1305">
        <f>'Input Sheet'!C84</f>
        <v>0</v>
      </c>
      <c r="F28" s="330"/>
      <c r="G28" s="330"/>
      <c r="I28" s="271"/>
    </row>
    <row r="29" spans="1:9" x14ac:dyDescent="0.25">
      <c r="A29" s="435">
        <v>29</v>
      </c>
      <c r="B29" s="567"/>
      <c r="C29" s="556"/>
      <c r="D29" s="1263" t="s">
        <v>1119</v>
      </c>
      <c r="E29" s="1305">
        <f>'Input Sheet'!C85</f>
        <v>0</v>
      </c>
      <c r="F29" s="330"/>
      <c r="G29" s="330"/>
      <c r="H29" s="330"/>
    </row>
    <row r="30" spans="1:9" ht="15.75" x14ac:dyDescent="0.25">
      <c r="A30" s="435">
        <v>30</v>
      </c>
      <c r="B30" s="567"/>
      <c r="C30" s="556"/>
      <c r="D30" s="1313" t="s">
        <v>465</v>
      </c>
      <c r="E30" s="1306">
        <f>SUM(E18:E23)-SUM(E25:E29)</f>
        <v>0</v>
      </c>
      <c r="F30" s="329"/>
      <c r="G30" s="329"/>
    </row>
    <row r="31" spans="1:9" ht="15.75" x14ac:dyDescent="0.25">
      <c r="A31" s="435">
        <v>31</v>
      </c>
      <c r="B31" s="1311" t="s">
        <v>466</v>
      </c>
      <c r="C31" s="556"/>
      <c r="D31" s="1263"/>
      <c r="E31" s="1304"/>
      <c r="F31" s="328"/>
      <c r="G31" s="328"/>
    </row>
    <row r="32" spans="1:9" s="372" customFormat="1" ht="15.75" x14ac:dyDescent="0.25">
      <c r="A32" s="435">
        <v>32</v>
      </c>
      <c r="B32" s="1311"/>
      <c r="C32" s="1312" t="s">
        <v>566</v>
      </c>
      <c r="D32" s="1263"/>
      <c r="E32" s="1304"/>
      <c r="F32" s="328"/>
      <c r="G32" s="328"/>
    </row>
    <row r="33" spans="1:7" s="372" customFormat="1" ht="15.75" x14ac:dyDescent="0.25">
      <c r="A33" s="435">
        <v>33</v>
      </c>
      <c r="B33" s="1311"/>
      <c r="C33" s="556"/>
      <c r="D33" s="1263" t="s">
        <v>569</v>
      </c>
      <c r="E33" s="543">
        <f>'Input Sheet'!C59</f>
        <v>0</v>
      </c>
      <c r="F33" s="802"/>
      <c r="G33" s="239"/>
    </row>
    <row r="34" spans="1:7" s="372" customFormat="1" ht="15.75" x14ac:dyDescent="0.25">
      <c r="A34" s="435">
        <v>34</v>
      </c>
      <c r="B34" s="1311"/>
      <c r="C34" s="556"/>
      <c r="D34" s="1263" t="s">
        <v>570</v>
      </c>
      <c r="E34" s="543">
        <f>'Input Sheet'!C60</f>
        <v>0</v>
      </c>
      <c r="F34" s="803"/>
      <c r="G34" s="239"/>
    </row>
    <row r="35" spans="1:7" s="372" customFormat="1" ht="15.75" x14ac:dyDescent="0.25">
      <c r="A35" s="435">
        <v>35</v>
      </c>
      <c r="B35" s="1311"/>
      <c r="C35" s="556"/>
      <c r="D35" s="1263" t="s">
        <v>571</v>
      </c>
      <c r="E35" s="1304">
        <f>'Income Statement'!F60</f>
        <v>0</v>
      </c>
      <c r="F35" s="239"/>
      <c r="G35" s="239"/>
    </row>
    <row r="36" spans="1:7" s="372" customFormat="1" ht="15.75" x14ac:dyDescent="0.25">
      <c r="A36" s="435">
        <v>36</v>
      </c>
      <c r="B36" s="1311"/>
      <c r="C36" s="556"/>
      <c r="D36" s="1263" t="s">
        <v>572</v>
      </c>
      <c r="E36" s="1304">
        <f>'Income Statement'!F65</f>
        <v>0</v>
      </c>
      <c r="F36" s="239"/>
      <c r="G36" s="239"/>
    </row>
    <row r="37" spans="1:7" s="372" customFormat="1" ht="15.75" x14ac:dyDescent="0.25">
      <c r="A37" s="435">
        <v>37</v>
      </c>
      <c r="B37" s="1311"/>
      <c r="C37" s="556"/>
      <c r="D37" s="1263" t="s">
        <v>573</v>
      </c>
      <c r="E37" s="1307">
        <f>'Input Sheet'!C63</f>
        <v>0</v>
      </c>
      <c r="F37" s="239"/>
      <c r="G37" s="437"/>
    </row>
    <row r="38" spans="1:7" s="372" customFormat="1" ht="15.75" x14ac:dyDescent="0.25">
      <c r="A38" s="435">
        <v>38</v>
      </c>
      <c r="B38" s="1311"/>
      <c r="C38" s="556"/>
      <c r="D38" s="1263" t="s">
        <v>467</v>
      </c>
      <c r="E38" s="2025"/>
      <c r="F38" s="239"/>
      <c r="G38" s="239"/>
    </row>
    <row r="39" spans="1:7" ht="15.75" x14ac:dyDescent="0.25">
      <c r="A39" s="435">
        <v>39</v>
      </c>
      <c r="B39" s="1311"/>
      <c r="C39" s="1312" t="s">
        <v>579</v>
      </c>
      <c r="D39" s="1263"/>
      <c r="E39" s="1304"/>
      <c r="F39" s="239"/>
      <c r="G39" s="239"/>
    </row>
    <row r="40" spans="1:7" s="372" customFormat="1" ht="15.75" x14ac:dyDescent="0.25">
      <c r="A40" s="435">
        <v>40</v>
      </c>
      <c r="B40" s="1311"/>
      <c r="C40" s="556"/>
      <c r="D40" s="1263" t="s">
        <v>575</v>
      </c>
      <c r="E40" s="543">
        <f>'Input Sheet'!C55</f>
        <v>0</v>
      </c>
      <c r="F40" s="239"/>
      <c r="G40" s="239"/>
    </row>
    <row r="41" spans="1:7" s="372" customFormat="1" ht="15.75" x14ac:dyDescent="0.25">
      <c r="A41" s="435">
        <v>41</v>
      </c>
      <c r="B41" s="1311"/>
      <c r="C41" s="556"/>
      <c r="D41" s="1263" t="s">
        <v>574</v>
      </c>
      <c r="E41" s="543">
        <f>'Input Sheet'!C56</f>
        <v>0</v>
      </c>
      <c r="F41" s="239"/>
      <c r="G41" s="239"/>
    </row>
    <row r="42" spans="1:7" s="372" customFormat="1" ht="15.75" x14ac:dyDescent="0.25">
      <c r="A42" s="435">
        <v>42</v>
      </c>
      <c r="B42" s="1311"/>
      <c r="C42" s="556"/>
      <c r="D42" s="1263" t="s">
        <v>576</v>
      </c>
      <c r="E42" s="1305">
        <f>'Income Statement'!F61</f>
        <v>0</v>
      </c>
      <c r="F42" s="239"/>
      <c r="G42" s="438"/>
    </row>
    <row r="43" spans="1:7" s="372" customFormat="1" ht="15.75" x14ac:dyDescent="0.25">
      <c r="A43" s="435">
        <v>43</v>
      </c>
      <c r="B43" s="1311"/>
      <c r="C43" s="556"/>
      <c r="D43" s="1263" t="s">
        <v>577</v>
      </c>
      <c r="E43" s="1305">
        <f>'Income Statement'!F66</f>
        <v>0</v>
      </c>
      <c r="F43" s="239"/>
      <c r="G43" s="438"/>
    </row>
    <row r="44" spans="1:7" s="372" customFormat="1" ht="15.75" x14ac:dyDescent="0.25">
      <c r="A44" s="435">
        <v>44</v>
      </c>
      <c r="B44" s="1311"/>
      <c r="C44" s="556"/>
      <c r="D44" s="1263" t="s">
        <v>578</v>
      </c>
      <c r="E44" s="1305">
        <f>'Input Sheet'!C64</f>
        <v>0</v>
      </c>
      <c r="F44" s="239"/>
      <c r="G44" s="438"/>
    </row>
    <row r="45" spans="1:7" s="372" customFormat="1" ht="15.75" x14ac:dyDescent="0.25">
      <c r="A45" s="435">
        <v>45</v>
      </c>
      <c r="B45" s="1311"/>
      <c r="C45" s="556"/>
      <c r="D45" s="1263" t="s">
        <v>468</v>
      </c>
      <c r="E45" s="2026"/>
      <c r="F45" s="239"/>
      <c r="G45" s="239"/>
    </row>
    <row r="46" spans="1:7" ht="15.75" x14ac:dyDescent="0.25">
      <c r="A46" s="435">
        <v>46</v>
      </c>
      <c r="B46" s="567"/>
      <c r="C46" s="556"/>
      <c r="D46" s="1313" t="s">
        <v>469</v>
      </c>
      <c r="E46" s="1306">
        <f>SUM(E33:E38)-SUM(E40:E45)</f>
        <v>0</v>
      </c>
      <c r="F46" s="439"/>
      <c r="G46" s="439"/>
    </row>
    <row r="47" spans="1:7" x14ac:dyDescent="0.25">
      <c r="A47" s="435">
        <v>47</v>
      </c>
      <c r="B47" s="567"/>
      <c r="C47" s="556"/>
      <c r="D47" s="1263"/>
      <c r="E47" s="1304"/>
      <c r="F47" s="328"/>
      <c r="G47" s="328"/>
    </row>
    <row r="48" spans="1:7" x14ac:dyDescent="0.25">
      <c r="A48" s="435">
        <v>48</v>
      </c>
      <c r="B48" s="567" t="s">
        <v>744</v>
      </c>
      <c r="C48" s="556"/>
      <c r="D48" s="1263"/>
      <c r="E48" s="1308">
        <f>E16+E30+E46</f>
        <v>0</v>
      </c>
      <c r="F48" s="328"/>
      <c r="G48" s="328"/>
    </row>
    <row r="49" spans="1:15" x14ac:dyDescent="0.25">
      <c r="A49" s="435">
        <v>49</v>
      </c>
      <c r="B49" s="567" t="s">
        <v>745</v>
      </c>
      <c r="C49" s="556"/>
      <c r="D49" s="1263"/>
      <c r="E49" s="1308">
        <f>'Balance Sheets'!I7</f>
        <v>0</v>
      </c>
      <c r="F49" s="328"/>
      <c r="G49" s="328"/>
    </row>
    <row r="50" spans="1:15" x14ac:dyDescent="0.25">
      <c r="A50" s="435">
        <v>50</v>
      </c>
      <c r="B50" s="567" t="s">
        <v>868</v>
      </c>
      <c r="C50" s="556"/>
      <c r="D50" s="1263"/>
      <c r="E50" s="1308">
        <f>SUM(E48:E49)</f>
        <v>0</v>
      </c>
      <c r="F50" s="328"/>
      <c r="G50" s="328"/>
    </row>
    <row r="51" spans="1:15" x14ac:dyDescent="0.25">
      <c r="A51" s="435">
        <v>51</v>
      </c>
      <c r="B51" s="567" t="s">
        <v>746</v>
      </c>
      <c r="C51" s="556"/>
      <c r="D51" s="1263"/>
      <c r="E51" s="1308">
        <f>'Balance Sheets'!G7</f>
        <v>0</v>
      </c>
      <c r="F51" s="328"/>
      <c r="G51" s="328"/>
    </row>
    <row r="52" spans="1:15" x14ac:dyDescent="0.25">
      <c r="A52" s="435">
        <v>52</v>
      </c>
      <c r="B52" s="567"/>
      <c r="C52" s="556"/>
      <c r="D52" s="1265" t="s">
        <v>470</v>
      </c>
      <c r="E52" s="1309">
        <f>E50-E51</f>
        <v>0</v>
      </c>
      <c r="F52" s="321"/>
      <c r="G52" s="321"/>
      <c r="H52" s="375"/>
    </row>
    <row r="53" spans="1:15" s="391" customFormat="1" x14ac:dyDescent="0.25">
      <c r="A53" s="435">
        <v>53</v>
      </c>
      <c r="B53" s="567"/>
      <c r="C53" s="556"/>
      <c r="D53" s="1315"/>
      <c r="E53" s="1325" t="str">
        <f>IF(E52&lt;0,"unaccounted cash inflow",IF(E52&gt;0,"Does Not Balance (see below)","cash balances"))</f>
        <v>cash balances</v>
      </c>
      <c r="F53" s="490"/>
      <c r="G53" s="491"/>
      <c r="H53" s="375"/>
    </row>
    <row r="54" spans="1:15" s="391" customFormat="1" ht="34.5" customHeight="1" thickBot="1" x14ac:dyDescent="0.3">
      <c r="A54" s="435">
        <v>54</v>
      </c>
      <c r="B54" s="1790" t="s">
        <v>942</v>
      </c>
      <c r="C54" s="1791"/>
      <c r="D54" s="1791"/>
      <c r="E54" s="1792"/>
      <c r="F54" s="492"/>
      <c r="G54" s="491"/>
      <c r="H54" s="375"/>
    </row>
    <row r="55" spans="1:15" ht="24" customHeight="1" thickBot="1" x14ac:dyDescent="0.3">
      <c r="A55" s="435">
        <v>55</v>
      </c>
      <c r="B55" s="272"/>
      <c r="C55" s="272"/>
      <c r="D55" s="1316"/>
      <c r="E55" s="1317"/>
      <c r="F55" s="328"/>
      <c r="G55" s="331"/>
    </row>
    <row r="56" spans="1:15" ht="15.75" x14ac:dyDescent="0.25">
      <c r="A56" s="435">
        <v>56</v>
      </c>
      <c r="B56" s="1318" t="s">
        <v>471</v>
      </c>
      <c r="C56" s="1319"/>
      <c r="D56" s="1319"/>
      <c r="E56" s="1320"/>
      <c r="F56" s="328"/>
      <c r="G56" s="321"/>
    </row>
    <row r="57" spans="1:15" x14ac:dyDescent="0.25">
      <c r="A57" s="435">
        <v>57</v>
      </c>
      <c r="B57" s="567"/>
      <c r="C57" s="556" t="s">
        <v>472</v>
      </c>
      <c r="D57" s="1263"/>
      <c r="E57" s="1304">
        <f>'Income Statement'!G67</f>
        <v>0</v>
      </c>
      <c r="F57" s="328"/>
      <c r="G57" s="328"/>
    </row>
    <row r="58" spans="1:15" x14ac:dyDescent="0.25">
      <c r="A58" s="435">
        <v>58</v>
      </c>
      <c r="B58" s="567"/>
      <c r="C58" s="556"/>
      <c r="D58" s="1322" t="s">
        <v>473</v>
      </c>
      <c r="E58" s="1304"/>
      <c r="F58" s="328"/>
      <c r="G58" s="328"/>
    </row>
    <row r="59" spans="1:15" x14ac:dyDescent="0.25">
      <c r="A59" s="435">
        <v>59</v>
      </c>
      <c r="B59" s="567"/>
      <c r="C59" s="556" t="s">
        <v>474</v>
      </c>
      <c r="D59" s="1263" t="s">
        <v>580</v>
      </c>
      <c r="E59" s="1304">
        <f>'Income Statement'!G49</f>
        <v>0</v>
      </c>
      <c r="F59" s="328"/>
      <c r="G59" s="328"/>
    </row>
    <row r="60" spans="1:15" x14ac:dyDescent="0.25">
      <c r="A60" s="435">
        <v>60</v>
      </c>
      <c r="B60" s="567"/>
      <c r="C60" s="556" t="s">
        <v>475</v>
      </c>
      <c r="D60" s="1263" t="s">
        <v>476</v>
      </c>
      <c r="E60" s="1304">
        <f>-('Income Statement'!F15)</f>
        <v>0</v>
      </c>
      <c r="F60" s="328"/>
      <c r="G60" s="328"/>
    </row>
    <row r="61" spans="1:15" x14ac:dyDescent="0.25">
      <c r="A61" s="435">
        <v>61</v>
      </c>
      <c r="B61" s="567"/>
      <c r="C61" s="556" t="s">
        <v>475</v>
      </c>
      <c r="D61" s="1263" t="s">
        <v>477</v>
      </c>
      <c r="E61" s="1304">
        <f>-('Income Statement'!F58)</f>
        <v>0</v>
      </c>
      <c r="F61" s="328"/>
      <c r="G61" s="328"/>
    </row>
    <row r="62" spans="1:15" ht="15.75" x14ac:dyDescent="0.25">
      <c r="A62" s="435">
        <v>62</v>
      </c>
      <c r="B62" s="567"/>
      <c r="C62" s="556" t="s">
        <v>475</v>
      </c>
      <c r="D62" s="1263" t="s">
        <v>507</v>
      </c>
      <c r="E62" s="1304">
        <f>-('Income Statement'!F60+'Income Statement'!F65)</f>
        <v>0</v>
      </c>
      <c r="F62" s="328"/>
      <c r="G62" s="328"/>
      <c r="I62" s="333"/>
      <c r="J62" s="333"/>
      <c r="K62" s="333"/>
      <c r="L62" s="333"/>
      <c r="M62" s="333"/>
      <c r="N62" s="333"/>
      <c r="O62" s="333"/>
    </row>
    <row r="63" spans="1:15" ht="14.65" customHeight="1" x14ac:dyDescent="0.25">
      <c r="A63" s="435">
        <v>63</v>
      </c>
      <c r="B63" s="567"/>
      <c r="C63" s="556" t="s">
        <v>474</v>
      </c>
      <c r="D63" s="1263" t="s">
        <v>478</v>
      </c>
      <c r="E63" s="1304">
        <f>'Income Statement'!F61+'Income Statement'!F66</f>
        <v>0</v>
      </c>
      <c r="F63" s="328"/>
      <c r="G63" s="328"/>
      <c r="H63" s="426"/>
      <c r="I63" s="426"/>
      <c r="J63" s="426"/>
      <c r="K63" s="426"/>
      <c r="L63" s="426"/>
      <c r="M63" s="426"/>
      <c r="N63" s="426"/>
      <c r="O63" s="426"/>
    </row>
    <row r="64" spans="1:15" ht="14.65" customHeight="1" x14ac:dyDescent="0.25">
      <c r="A64" s="435">
        <v>64</v>
      </c>
      <c r="B64" s="567"/>
      <c r="C64" s="556"/>
      <c r="D64" s="1322" t="s">
        <v>479</v>
      </c>
      <c r="E64" s="1304"/>
      <c r="F64" s="328"/>
      <c r="G64" s="328"/>
      <c r="H64" s="426"/>
      <c r="I64" s="426"/>
      <c r="J64" s="426"/>
      <c r="K64" s="426"/>
      <c r="L64" s="426"/>
      <c r="M64" s="426"/>
      <c r="N64" s="426"/>
      <c r="O64" s="426"/>
    </row>
    <row r="65" spans="1:15" ht="14.65" customHeight="1" x14ac:dyDescent="0.25">
      <c r="A65" s="435">
        <v>65</v>
      </c>
      <c r="B65" s="567"/>
      <c r="C65" s="556" t="s">
        <v>475</v>
      </c>
      <c r="D65" s="1263" t="s">
        <v>480</v>
      </c>
      <c r="E65" s="1304">
        <f>-('Income Statement'!G18+('Income Statement'!G16-'Income Statement'!F16))</f>
        <v>0</v>
      </c>
      <c r="F65" s="328"/>
      <c r="G65" s="328"/>
      <c r="H65" s="426"/>
      <c r="I65" s="426"/>
      <c r="J65" s="426"/>
      <c r="K65" s="426"/>
      <c r="L65" s="426"/>
      <c r="M65" s="426"/>
      <c r="N65" s="426"/>
      <c r="O65" s="426"/>
    </row>
    <row r="66" spans="1:15" ht="14.65" customHeight="1" x14ac:dyDescent="0.25">
      <c r="A66" s="435">
        <v>66</v>
      </c>
      <c r="B66" s="567"/>
      <c r="C66" s="556" t="s">
        <v>475</v>
      </c>
      <c r="D66" s="1263" t="s">
        <v>481</v>
      </c>
      <c r="E66" s="1308">
        <f>'Income Statement'!G50</f>
        <v>0</v>
      </c>
      <c r="F66" s="328"/>
      <c r="G66" s="328"/>
      <c r="H66" s="426"/>
      <c r="I66" s="426"/>
      <c r="J66" s="426"/>
      <c r="K66" s="426"/>
      <c r="L66" s="426"/>
      <c r="M66" s="426"/>
      <c r="N66" s="426"/>
      <c r="O66" s="426"/>
    </row>
    <row r="67" spans="1:15" ht="14.65" customHeight="1" x14ac:dyDescent="0.25">
      <c r="A67" s="435">
        <v>67</v>
      </c>
      <c r="B67" s="567"/>
      <c r="C67" s="556" t="s">
        <v>474</v>
      </c>
      <c r="D67" s="1263" t="s">
        <v>482</v>
      </c>
      <c r="E67" s="1304">
        <f>'Income Statement'!G51</f>
        <v>0</v>
      </c>
      <c r="F67" s="328"/>
      <c r="G67" s="328"/>
      <c r="H67" s="426"/>
      <c r="I67" s="426"/>
      <c r="J67" s="426"/>
      <c r="K67" s="426"/>
      <c r="L67" s="426"/>
      <c r="M67" s="426"/>
      <c r="N67" s="426"/>
      <c r="O67" s="426"/>
    </row>
    <row r="68" spans="1:15" ht="15" customHeight="1" x14ac:dyDescent="0.25">
      <c r="A68" s="435">
        <v>68</v>
      </c>
      <c r="B68" s="567"/>
      <c r="C68" s="556" t="s">
        <v>474</v>
      </c>
      <c r="D68" s="1263" t="s">
        <v>483</v>
      </c>
      <c r="E68" s="1304">
        <f>'Income Statement'!G57</f>
        <v>0</v>
      </c>
      <c r="F68" s="328"/>
      <c r="G68" s="328"/>
      <c r="H68" s="426"/>
      <c r="I68" s="426"/>
      <c r="J68" s="426"/>
      <c r="K68" s="426"/>
      <c r="L68" s="426"/>
      <c r="M68" s="426"/>
      <c r="N68" s="426"/>
      <c r="O68" s="426"/>
    </row>
    <row r="69" spans="1:15" x14ac:dyDescent="0.25">
      <c r="A69" s="435">
        <v>69</v>
      </c>
      <c r="B69" s="567"/>
      <c r="C69" s="556" t="s">
        <v>484</v>
      </c>
      <c r="D69" s="1263" t="s">
        <v>485</v>
      </c>
      <c r="E69" s="1304">
        <f>'Income Statement'!G64</f>
        <v>0</v>
      </c>
      <c r="F69" s="328"/>
      <c r="G69" s="328"/>
    </row>
    <row r="70" spans="1:15" x14ac:dyDescent="0.25">
      <c r="A70" s="435">
        <v>70</v>
      </c>
      <c r="B70" s="567"/>
      <c r="C70" s="556"/>
      <c r="D70" s="1315" t="s">
        <v>11</v>
      </c>
      <c r="E70" s="527">
        <f>SUM(E57:E69)</f>
        <v>0</v>
      </c>
      <c r="F70" s="328"/>
      <c r="G70" s="328"/>
    </row>
    <row r="71" spans="1:15" x14ac:dyDescent="0.25">
      <c r="A71" s="435">
        <v>71</v>
      </c>
      <c r="B71" s="567"/>
      <c r="C71" s="556"/>
      <c r="D71" s="1315" t="s">
        <v>717</v>
      </c>
      <c r="E71" s="1304">
        <f>E16</f>
        <v>0</v>
      </c>
      <c r="F71" s="328"/>
      <c r="G71" s="328"/>
    </row>
    <row r="72" spans="1:15" ht="30.75" thickBot="1" x14ac:dyDescent="0.3">
      <c r="A72" s="435">
        <v>72</v>
      </c>
      <c r="B72" s="1323"/>
      <c r="C72" s="1163"/>
      <c r="D72" s="1324" t="s">
        <v>486</v>
      </c>
      <c r="E72" s="1321">
        <f>E70-E71</f>
        <v>0</v>
      </c>
      <c r="F72" s="328"/>
      <c r="G72" s="328"/>
    </row>
    <row r="73" spans="1:15" x14ac:dyDescent="0.25">
      <c r="E73" s="321"/>
      <c r="F73" s="328"/>
      <c r="G73" s="328"/>
    </row>
    <row r="74" spans="1:15" x14ac:dyDescent="0.25">
      <c r="E74" s="321"/>
      <c r="F74" s="328"/>
      <c r="G74" s="328"/>
    </row>
    <row r="75" spans="1:15" x14ac:dyDescent="0.25">
      <c r="E75" s="321"/>
      <c r="F75" s="321"/>
      <c r="G75" s="330"/>
      <c r="H75" s="330"/>
      <c r="J75" s="328"/>
    </row>
  </sheetData>
  <sheetProtection sheet="1" objects="1" scenarios="1" selectLockedCells="1"/>
  <mergeCells count="3">
    <mergeCell ref="C2:D2"/>
    <mergeCell ref="B1:E1"/>
    <mergeCell ref="B54:E54"/>
  </mergeCells>
  <pageMargins left="0.7" right="0.7" top="0.75" bottom="0.75" header="0.3" footer="0.3"/>
  <pageSetup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27BB5-3D01-4019-8E85-97D575644526}">
  <sheetPr>
    <tabColor theme="6" tint="0.39997558519241921"/>
  </sheetPr>
  <dimension ref="A1:G33"/>
  <sheetViews>
    <sheetView showGridLines="0" zoomScaleNormal="100" workbookViewId="0">
      <selection activeCell="B7" sqref="B7:D7"/>
    </sheetView>
  </sheetViews>
  <sheetFormatPr defaultColWidth="8.85546875" defaultRowHeight="15.75" x14ac:dyDescent="0.25"/>
  <cols>
    <col min="1" max="1" width="3" style="210" customWidth="1"/>
    <col min="2" max="2" width="35.28515625" style="207" customWidth="1"/>
    <col min="3" max="3" width="8.5703125" style="207" customWidth="1"/>
    <col min="4" max="4" width="10.85546875" style="207" customWidth="1"/>
    <col min="5" max="5" width="9.85546875" style="207" customWidth="1"/>
    <col min="6" max="7" width="11.28515625" style="207" customWidth="1"/>
    <col min="8" max="8" width="3.42578125" style="207" customWidth="1"/>
    <col min="9" max="16384" width="8.85546875" style="207"/>
  </cols>
  <sheetData>
    <row r="1" spans="1:7" ht="50.65" customHeight="1" thickBot="1" x14ac:dyDescent="0.3">
      <c r="A1" s="435">
        <v>1</v>
      </c>
      <c r="B1" s="1810" t="s">
        <v>677</v>
      </c>
      <c r="C1" s="1811"/>
      <c r="D1" s="1811"/>
      <c r="E1" s="1811"/>
      <c r="F1" s="1811"/>
      <c r="G1" s="1811"/>
    </row>
    <row r="2" spans="1:7" ht="26.25" x14ac:dyDescent="0.25">
      <c r="A2" s="435">
        <v>2</v>
      </c>
      <c r="B2" s="1814">
        <f>'Input Sheet'!C4</f>
        <v>0</v>
      </c>
      <c r="C2" s="1815"/>
      <c r="D2" s="1815"/>
      <c r="E2" s="1812">
        <f>'Input Sheet'!C9</f>
        <v>0</v>
      </c>
      <c r="F2" s="1812"/>
      <c r="G2" s="1813"/>
    </row>
    <row r="3" spans="1:7" x14ac:dyDescent="0.25">
      <c r="A3" s="435">
        <v>3</v>
      </c>
      <c r="B3" s="1816" t="s">
        <v>248</v>
      </c>
      <c r="C3" s="1817"/>
      <c r="D3" s="1817"/>
      <c r="E3" s="806"/>
      <c r="F3" s="806"/>
      <c r="G3" s="807">
        <f>'Balance Sheets'!I60</f>
        <v>0</v>
      </c>
    </row>
    <row r="4" spans="1:7" x14ac:dyDescent="0.25">
      <c r="A4" s="435">
        <v>4</v>
      </c>
      <c r="B4" s="1816"/>
      <c r="C4" s="1817"/>
      <c r="D4" s="1817"/>
      <c r="E4" s="806"/>
      <c r="F4" s="806"/>
      <c r="G4" s="807"/>
    </row>
    <row r="5" spans="1:7" x14ac:dyDescent="0.25">
      <c r="A5" s="435">
        <v>5</v>
      </c>
      <c r="B5" s="1801" t="s">
        <v>67</v>
      </c>
      <c r="C5" s="1802"/>
      <c r="D5" s="1802"/>
      <c r="E5" s="806"/>
      <c r="F5" s="808"/>
      <c r="G5" s="809"/>
    </row>
    <row r="6" spans="1:7" x14ac:dyDescent="0.25">
      <c r="A6" s="435">
        <v>6</v>
      </c>
      <c r="B6" s="1648" t="s">
        <v>219</v>
      </c>
      <c r="C6" s="1649"/>
      <c r="D6" s="1649"/>
      <c r="E6" s="810">
        <f>'Income Statement'!G67</f>
        <v>0</v>
      </c>
      <c r="F6" s="811"/>
      <c r="G6" s="812"/>
    </row>
    <row r="7" spans="1:7" x14ac:dyDescent="0.25">
      <c r="A7" s="435">
        <v>7</v>
      </c>
      <c r="B7" s="1648" t="s">
        <v>68</v>
      </c>
      <c r="C7" s="1649"/>
      <c r="D7" s="1649"/>
      <c r="E7" s="813">
        <f>-'Input Sheet'!C71</f>
        <v>0</v>
      </c>
      <c r="F7" s="811"/>
      <c r="G7" s="812"/>
    </row>
    <row r="8" spans="1:7" x14ac:dyDescent="0.25">
      <c r="A8" s="435">
        <v>8</v>
      </c>
      <c r="B8" s="1795" t="s">
        <v>69</v>
      </c>
      <c r="C8" s="1796"/>
      <c r="D8" s="1796"/>
      <c r="E8" s="810"/>
      <c r="F8" s="810">
        <f>SUM(E6:E7)</f>
        <v>0</v>
      </c>
      <c r="G8" s="812"/>
    </row>
    <row r="9" spans="1:7" x14ac:dyDescent="0.25">
      <c r="A9" s="435">
        <v>9</v>
      </c>
      <c r="B9" s="1648"/>
      <c r="C9" s="1649"/>
      <c r="D9" s="1649"/>
      <c r="E9" s="810"/>
      <c r="F9" s="811"/>
      <c r="G9" s="812"/>
    </row>
    <row r="10" spans="1:7" x14ac:dyDescent="0.25">
      <c r="A10" s="435">
        <v>10</v>
      </c>
      <c r="B10" s="1801" t="s">
        <v>65</v>
      </c>
      <c r="C10" s="1802"/>
      <c r="D10" s="1802"/>
      <c r="E10" s="810"/>
      <c r="F10" s="811"/>
      <c r="G10" s="812"/>
    </row>
    <row r="11" spans="1:7" x14ac:dyDescent="0.25">
      <c r="A11" s="435">
        <v>11</v>
      </c>
      <c r="B11" s="1648" t="s">
        <v>191</v>
      </c>
      <c r="C11" s="1649"/>
      <c r="D11" s="1649"/>
      <c r="E11" s="810">
        <f>'Input Sheet'!C63</f>
        <v>0</v>
      </c>
      <c r="F11" s="811"/>
      <c r="G11" s="812"/>
    </row>
    <row r="12" spans="1:7" x14ac:dyDescent="0.25">
      <c r="A12" s="435">
        <v>12</v>
      </c>
      <c r="B12" s="1648" t="s">
        <v>673</v>
      </c>
      <c r="C12" s="1649"/>
      <c r="D12" s="1649"/>
      <c r="E12" s="813">
        <f>-'Input Sheet'!C64-E7</f>
        <v>0</v>
      </c>
      <c r="F12" s="811"/>
      <c r="G12" s="812"/>
    </row>
    <row r="13" spans="1:7" x14ac:dyDescent="0.25">
      <c r="A13" s="435">
        <v>13</v>
      </c>
      <c r="B13" s="1795" t="s">
        <v>61</v>
      </c>
      <c r="C13" s="1796"/>
      <c r="D13" s="1796"/>
      <c r="E13" s="810"/>
      <c r="F13" s="810">
        <f>SUM(E11:E12)</f>
        <v>0</v>
      </c>
      <c r="G13" s="812"/>
    </row>
    <row r="14" spans="1:7" x14ac:dyDescent="0.25">
      <c r="A14" s="435">
        <v>14</v>
      </c>
      <c r="B14" s="1648"/>
      <c r="C14" s="1649"/>
      <c r="D14" s="1649"/>
      <c r="E14" s="810"/>
      <c r="F14" s="811"/>
      <c r="G14" s="812"/>
    </row>
    <row r="15" spans="1:7" x14ac:dyDescent="0.25">
      <c r="A15" s="435">
        <v>15</v>
      </c>
      <c r="B15" s="1801" t="s">
        <v>59</v>
      </c>
      <c r="C15" s="1802"/>
      <c r="D15" s="1802"/>
      <c r="E15" s="810"/>
      <c r="F15" s="810"/>
      <c r="G15" s="812"/>
    </row>
    <row r="16" spans="1:7" x14ac:dyDescent="0.25">
      <c r="A16" s="435">
        <v>16</v>
      </c>
      <c r="B16" s="1648" t="s">
        <v>185</v>
      </c>
      <c r="C16" s="1649"/>
      <c r="D16" s="1649"/>
      <c r="E16" s="810">
        <f>'Deferred Taxes'!D27-'Deferred Taxes'!J27</f>
        <v>0</v>
      </c>
      <c r="F16" s="810"/>
      <c r="G16" s="812"/>
    </row>
    <row r="17" spans="1:7" x14ac:dyDescent="0.25">
      <c r="A17" s="435">
        <v>17</v>
      </c>
      <c r="B17" s="1648" t="s">
        <v>186</v>
      </c>
      <c r="C17" s="1649"/>
      <c r="D17" s="1649"/>
      <c r="E17" s="810">
        <f>'Deferred Taxes'!D28-'Deferred Taxes'!J28</f>
        <v>0</v>
      </c>
      <c r="F17" s="810"/>
      <c r="G17" s="812"/>
    </row>
    <row r="18" spans="1:7" x14ac:dyDescent="0.25">
      <c r="A18" s="435">
        <v>18</v>
      </c>
      <c r="B18" s="1648" t="s">
        <v>187</v>
      </c>
      <c r="C18" s="1649"/>
      <c r="D18" s="1649"/>
      <c r="E18" s="810">
        <f>'Deferred Taxes'!D29-'Deferred Taxes'!J29</f>
        <v>0</v>
      </c>
      <c r="F18" s="810"/>
      <c r="G18" s="812"/>
    </row>
    <row r="19" spans="1:7" x14ac:dyDescent="0.25">
      <c r="A19" s="435">
        <v>19</v>
      </c>
      <c r="B19" s="1648" t="s">
        <v>62</v>
      </c>
      <c r="C19" s="1649"/>
      <c r="D19" s="1649"/>
      <c r="E19" s="810">
        <f>'Deferred Taxes'!D30-'Deferred Taxes'!J30</f>
        <v>0</v>
      </c>
      <c r="F19" s="810"/>
      <c r="G19" s="812"/>
    </row>
    <row r="20" spans="1:7" x14ac:dyDescent="0.25">
      <c r="A20" s="435">
        <v>20</v>
      </c>
      <c r="B20" s="1793" t="s">
        <v>188</v>
      </c>
      <c r="C20" s="1794"/>
      <c r="D20" s="1794"/>
      <c r="E20" s="810">
        <f>'Deferred Taxes'!D31-'Deferred Taxes'!J31</f>
        <v>0</v>
      </c>
      <c r="F20" s="810"/>
      <c r="G20" s="812"/>
    </row>
    <row r="21" spans="1:7" x14ac:dyDescent="0.25">
      <c r="A21" s="435">
        <v>21</v>
      </c>
      <c r="B21" s="1793" t="s">
        <v>63</v>
      </c>
      <c r="C21" s="1794"/>
      <c r="D21" s="1794"/>
      <c r="E21" s="810">
        <f>'Deferred Taxes'!D32-'Deferred Taxes'!J32</f>
        <v>0</v>
      </c>
      <c r="F21" s="810"/>
      <c r="G21" s="812"/>
    </row>
    <row r="22" spans="1:7" x14ac:dyDescent="0.25">
      <c r="A22" s="435">
        <v>22</v>
      </c>
      <c r="B22" s="1793" t="s">
        <v>189</v>
      </c>
      <c r="C22" s="1794"/>
      <c r="D22" s="1794"/>
      <c r="E22" s="810">
        <f>'Deferred Taxes'!D33-'Deferred Taxes'!J33</f>
        <v>0</v>
      </c>
      <c r="F22" s="810"/>
      <c r="G22" s="812"/>
    </row>
    <row r="23" spans="1:7" x14ac:dyDescent="0.25">
      <c r="A23" s="435">
        <v>23</v>
      </c>
      <c r="B23" s="1797" t="s">
        <v>64</v>
      </c>
      <c r="C23" s="1798"/>
      <c r="D23" s="1798"/>
      <c r="E23" s="810">
        <f>'Deferred Taxes'!D34-'Deferred Taxes'!J34</f>
        <v>0</v>
      </c>
      <c r="F23" s="810"/>
      <c r="G23" s="812"/>
    </row>
    <row r="24" spans="1:7" x14ac:dyDescent="0.25">
      <c r="A24" s="435">
        <v>24</v>
      </c>
      <c r="B24" s="1793" t="s">
        <v>249</v>
      </c>
      <c r="C24" s="1794"/>
      <c r="D24" s="1794"/>
      <c r="E24" s="810">
        <f>IF('Balance Sheets'!E56="x",('Deferred Taxes'!E35-'Deferred Taxes'!K35),0)</f>
        <v>0</v>
      </c>
      <c r="F24" s="810"/>
      <c r="G24" s="812"/>
    </row>
    <row r="25" spans="1:7" x14ac:dyDescent="0.25">
      <c r="A25" s="435">
        <v>25</v>
      </c>
      <c r="B25" s="1799" t="s">
        <v>190</v>
      </c>
      <c r="C25" s="1800"/>
      <c r="D25" s="1800"/>
      <c r="E25" s="814"/>
      <c r="F25" s="810">
        <f>SUM(E16:E23)-E24</f>
        <v>0</v>
      </c>
      <c r="G25" s="812"/>
    </row>
    <row r="26" spans="1:7" x14ac:dyDescent="0.25">
      <c r="A26" s="435">
        <v>26</v>
      </c>
      <c r="B26" s="1797"/>
      <c r="C26" s="1798"/>
      <c r="D26" s="1798"/>
      <c r="E26" s="810"/>
      <c r="F26" s="810"/>
      <c r="G26" s="812"/>
    </row>
    <row r="27" spans="1:7" x14ac:dyDescent="0.25">
      <c r="A27" s="435">
        <v>27</v>
      </c>
      <c r="B27" s="1799" t="s">
        <v>70</v>
      </c>
      <c r="C27" s="1800"/>
      <c r="D27" s="1800"/>
      <c r="E27" s="810"/>
      <c r="F27" s="810"/>
      <c r="G27" s="812">
        <f>SUM(F8:F25)</f>
        <v>0</v>
      </c>
    </row>
    <row r="28" spans="1:7" x14ac:dyDescent="0.25">
      <c r="A28" s="435">
        <v>28</v>
      </c>
      <c r="B28" s="1799"/>
      <c r="C28" s="1800"/>
      <c r="D28" s="1800"/>
      <c r="E28" s="810"/>
      <c r="F28" s="810"/>
      <c r="G28" s="812"/>
    </row>
    <row r="29" spans="1:7" x14ac:dyDescent="0.25">
      <c r="A29" s="435">
        <v>29</v>
      </c>
      <c r="B29" s="1808" t="s">
        <v>869</v>
      </c>
      <c r="C29" s="1809"/>
      <c r="D29" s="1809"/>
      <c r="E29" s="810"/>
      <c r="F29" s="810"/>
      <c r="G29" s="812">
        <f>SUM(G3:G27)</f>
        <v>0</v>
      </c>
    </row>
    <row r="30" spans="1:7" x14ac:dyDescent="0.25">
      <c r="A30" s="435">
        <v>30</v>
      </c>
      <c r="B30" s="1806" t="s">
        <v>870</v>
      </c>
      <c r="C30" s="1807"/>
      <c r="D30" s="1807"/>
      <c r="E30" s="810"/>
      <c r="F30" s="810"/>
      <c r="G30" s="812">
        <f>'Balance Sheets'!G60</f>
        <v>0</v>
      </c>
    </row>
    <row r="31" spans="1:7" ht="17.25" x14ac:dyDescent="0.25">
      <c r="A31" s="884">
        <v>31</v>
      </c>
      <c r="B31" s="1806" t="s">
        <v>732</v>
      </c>
      <c r="C31" s="1807"/>
      <c r="D31" s="1807"/>
      <c r="E31" s="806"/>
      <c r="F31" s="806"/>
      <c r="G31" s="815">
        <f>G30-G29</f>
        <v>0</v>
      </c>
    </row>
    <row r="32" spans="1:7" ht="49.5" customHeight="1" thickBot="1" x14ac:dyDescent="0.3">
      <c r="A32" s="884">
        <v>32</v>
      </c>
      <c r="B32" s="1803" t="s">
        <v>741</v>
      </c>
      <c r="C32" s="1804"/>
      <c r="D32" s="1804"/>
      <c r="E32" s="1804"/>
      <c r="F32" s="1804"/>
      <c r="G32" s="1805"/>
    </row>
    <row r="33" spans="1:7" ht="40.5" customHeight="1" x14ac:dyDescent="0.25">
      <c r="A33" s="435"/>
      <c r="B33" s="211"/>
      <c r="C33" s="211"/>
      <c r="D33" s="211"/>
      <c r="E33" s="211"/>
      <c r="F33" s="211"/>
      <c r="G33" s="476"/>
    </row>
  </sheetData>
  <sheetProtection sheet="1" objects="1" scenarios="1" selectLockedCells="1"/>
  <mergeCells count="33">
    <mergeCell ref="B1:G1"/>
    <mergeCell ref="E2:G2"/>
    <mergeCell ref="B2:D2"/>
    <mergeCell ref="B3:D3"/>
    <mergeCell ref="B8:D8"/>
    <mergeCell ref="B7:D7"/>
    <mergeCell ref="B6:D6"/>
    <mergeCell ref="B5:D5"/>
    <mergeCell ref="B4:D4"/>
    <mergeCell ref="B32:G32"/>
    <mergeCell ref="B12:D12"/>
    <mergeCell ref="B11:D11"/>
    <mergeCell ref="B23:D23"/>
    <mergeCell ref="B22:D22"/>
    <mergeCell ref="B31:D31"/>
    <mergeCell ref="B30:D30"/>
    <mergeCell ref="B29:D29"/>
    <mergeCell ref="B28:D28"/>
    <mergeCell ref="B27:D27"/>
    <mergeCell ref="B21:D21"/>
    <mergeCell ref="B9:D9"/>
    <mergeCell ref="B19:D19"/>
    <mergeCell ref="B20:D20"/>
    <mergeCell ref="B13:D13"/>
    <mergeCell ref="B26:D26"/>
    <mergeCell ref="B25:D25"/>
    <mergeCell ref="B24:D24"/>
    <mergeCell ref="B10:D10"/>
    <mergeCell ref="B18:D18"/>
    <mergeCell ref="B17:D17"/>
    <mergeCell ref="B16:D16"/>
    <mergeCell ref="B15:D15"/>
    <mergeCell ref="B14:D14"/>
  </mergeCells>
  <phoneticPr fontId="39" type="noConversion"/>
  <pageMargins left="0.7" right="0.7" top="0.75" bottom="0.75" header="0.3" footer="0.3"/>
  <pageSetup orientation="portrait"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1E231-4342-4CA8-A35B-5F0B97FF6276}">
  <sheetPr>
    <tabColor rgb="FFFFFF81"/>
  </sheetPr>
  <dimension ref="A1:BK53"/>
  <sheetViews>
    <sheetView showGridLines="0" zoomScale="80" zoomScaleNormal="80" workbookViewId="0">
      <selection activeCell="A9" sqref="A9"/>
    </sheetView>
  </sheetViews>
  <sheetFormatPr defaultColWidth="8.7109375" defaultRowHeight="15" x14ac:dyDescent="0.25"/>
  <cols>
    <col min="1" max="1" width="36.140625" style="391" customWidth="1"/>
    <col min="2" max="3" width="13.85546875" style="391" customWidth="1"/>
    <col min="4" max="4" width="11.85546875" style="391" customWidth="1"/>
    <col min="5" max="5" width="9.42578125" style="391" customWidth="1"/>
    <col min="6" max="6" width="13.28515625" style="391" customWidth="1"/>
    <col min="7" max="7" width="13.5703125" style="391" customWidth="1"/>
    <col min="8" max="8" width="10.5703125" style="391" customWidth="1"/>
    <col min="9" max="9" width="12" style="391" bestFit="1" customWidth="1"/>
    <col min="10" max="11" width="11.7109375" style="391" customWidth="1"/>
    <col min="12" max="12" width="12.42578125" style="391" customWidth="1"/>
    <col min="13" max="13" width="11.85546875" style="391" customWidth="1"/>
    <col min="14" max="14" width="12.140625" style="391" customWidth="1"/>
    <col min="15" max="15" width="10.42578125" style="391" bestFit="1" customWidth="1"/>
    <col min="16" max="16" width="9.85546875" style="391" customWidth="1"/>
    <col min="17" max="17" width="10.140625" style="391" customWidth="1"/>
    <col min="18" max="28" width="8.7109375" style="391"/>
    <col min="29" max="31" width="11.28515625" style="391" bestFit="1" customWidth="1"/>
    <col min="32" max="33" width="10.28515625" style="391" bestFit="1" customWidth="1"/>
    <col min="34" max="43" width="8.7109375" style="391"/>
    <col min="44" max="45" width="10.5703125" style="391" bestFit="1" customWidth="1"/>
    <col min="46" max="16384" width="8.7109375" style="391"/>
  </cols>
  <sheetData>
    <row r="1" spans="1:63" ht="33.6" customHeight="1" thickBot="1" x14ac:dyDescent="0.3">
      <c r="A1" s="1738" t="s">
        <v>949</v>
      </c>
      <c r="B1" s="1738"/>
      <c r="C1" s="1738"/>
      <c r="D1" s="1738"/>
      <c r="E1" s="1738"/>
      <c r="F1" s="1738"/>
      <c r="G1" s="1738"/>
      <c r="H1" s="1738"/>
      <c r="I1" s="1738"/>
      <c r="J1" s="1738"/>
      <c r="K1" s="1738"/>
      <c r="L1" s="1738"/>
      <c r="M1" s="1738"/>
    </row>
    <row r="2" spans="1:63" ht="18.75" x14ac:dyDescent="0.3">
      <c r="A2" s="889"/>
      <c r="B2" s="1845" t="s">
        <v>535</v>
      </c>
      <c r="C2" s="1845"/>
      <c r="D2" s="2029"/>
      <c r="E2" s="890"/>
      <c r="F2" s="1843" t="s">
        <v>536</v>
      </c>
      <c r="G2" s="1843"/>
      <c r="H2" s="1844"/>
      <c r="I2" s="1849" t="s">
        <v>537</v>
      </c>
      <c r="J2" s="1850"/>
      <c r="K2" s="1850"/>
      <c r="L2" s="1850"/>
      <c r="M2" s="1850"/>
      <c r="N2" s="1851"/>
    </row>
    <row r="3" spans="1:63" s="25" customFormat="1" ht="90" customHeight="1" x14ac:dyDescent="0.25">
      <c r="A3" s="891" t="s">
        <v>538</v>
      </c>
      <c r="B3" s="892" t="s">
        <v>539</v>
      </c>
      <c r="C3" s="892" t="s">
        <v>540</v>
      </c>
      <c r="D3" s="892" t="s">
        <v>541</v>
      </c>
      <c r="E3" s="892" t="s">
        <v>17</v>
      </c>
      <c r="F3" s="892" t="s">
        <v>737</v>
      </c>
      <c r="G3" s="892" t="s">
        <v>683</v>
      </c>
      <c r="H3" s="897" t="s">
        <v>736</v>
      </c>
      <c r="I3" s="899" t="s">
        <v>542</v>
      </c>
      <c r="J3" s="892" t="s">
        <v>544</v>
      </c>
      <c r="K3" s="892" t="s">
        <v>948</v>
      </c>
      <c r="L3" s="892" t="s">
        <v>545</v>
      </c>
      <c r="M3" s="893" t="s">
        <v>543</v>
      </c>
      <c r="N3" s="875" t="s">
        <v>602</v>
      </c>
      <c r="O3" s="885"/>
      <c r="P3" s="885"/>
      <c r="AB3" s="25">
        <v>0</v>
      </c>
      <c r="AC3" s="25">
        <v>1</v>
      </c>
      <c r="AD3" s="25">
        <v>2</v>
      </c>
      <c r="AE3" s="25">
        <v>3</v>
      </c>
      <c r="AF3" s="25">
        <v>4</v>
      </c>
      <c r="AG3" s="25">
        <v>5</v>
      </c>
      <c r="AH3" s="25">
        <v>6</v>
      </c>
      <c r="AI3" s="25">
        <v>7</v>
      </c>
      <c r="AJ3" s="25">
        <v>8</v>
      </c>
      <c r="AK3" s="25">
        <v>9</v>
      </c>
      <c r="AL3" s="25">
        <v>10</v>
      </c>
      <c r="AM3" s="25">
        <v>11</v>
      </c>
      <c r="AN3" s="25">
        <v>12</v>
      </c>
      <c r="AO3" s="25">
        <v>13</v>
      </c>
      <c r="AP3" s="25">
        <v>14</v>
      </c>
      <c r="AQ3" s="25">
        <v>15</v>
      </c>
      <c r="BI3" s="25" t="s">
        <v>546</v>
      </c>
      <c r="BJ3" s="25" t="s">
        <v>547</v>
      </c>
      <c r="BK3" s="25" t="s">
        <v>548</v>
      </c>
    </row>
    <row r="4" spans="1:63" x14ac:dyDescent="0.25">
      <c r="A4" s="2030"/>
      <c r="B4" s="910"/>
      <c r="C4" s="910"/>
      <c r="D4" s="910"/>
      <c r="E4" s="909"/>
      <c r="F4" s="2031"/>
      <c r="G4" s="2031"/>
      <c r="H4" s="898" t="e">
        <f t="shared" ref="H4:H10" si="0">IF(F4=0,(G4*(((1-(1+E4)^-(D4))/E4))),(F4*(1+E4))*(((1-(1+E4)^-(D4))/E4)))</f>
        <v>#DIV/0!</v>
      </c>
      <c r="I4" s="900">
        <f>IF(AND($D$2&gt;=B4,$D$2&lt;B4+D4-1),-PPMT(E4,$D$2-B4+2,D4,H4,,1),0)</f>
        <v>0</v>
      </c>
      <c r="J4" s="859">
        <f t="shared" ref="J4:J10" si="1">IF(AND($D$2&gt;=B4,$D$2&lt;B4+D4-1),H4+CUMPRINC(E4,D4,H4,B4-B4+1,$D$2-B4+1,1)-I4,0)</f>
        <v>0</v>
      </c>
      <c r="K4" s="894">
        <f>SUM(I4:J4)</f>
        <v>0</v>
      </c>
      <c r="L4" s="859">
        <f t="shared" ref="L4:L10" si="2">IF(OR($D$2-B4+1&lt;0,$D$2-B4+1&gt;D4),0,VLOOKUP(0,AB3:AQ4,$D$2-B4+2))</f>
        <v>0</v>
      </c>
      <c r="M4" s="894">
        <f t="shared" ref="M4:M10" si="3">IF(OR($D$2-B4+1&lt;0,$D$2-B4+1&gt;=D4),0,-IPMT(E4,$D$2-B4+2,D4,H4,,1)*((12-C4+1)/12))</f>
        <v>0</v>
      </c>
      <c r="N4" s="839">
        <f t="shared" ref="N4:N10" si="4">IF($D$2&lt;B4,0,(IF(($D$2-B4+1)&gt;D4,0,IF(($D$2-B4+1)=1,((H4/D4)*((13-C4)/12)),IF(($D$2-B4+1=D4),(H4/D4)*((C4-1)/12),IF(($D$2-B4+1)&lt;=D4,(H4/D4)))))))</f>
        <v>0</v>
      </c>
      <c r="O4" s="886"/>
      <c r="P4" s="14"/>
      <c r="R4" s="11"/>
      <c r="S4" s="11"/>
      <c r="T4" s="11"/>
      <c r="U4" s="11"/>
      <c r="V4" s="11"/>
      <c r="W4" s="11"/>
      <c r="X4" s="11"/>
      <c r="Y4" s="11"/>
      <c r="Z4" s="11"/>
      <c r="AA4" s="11"/>
      <c r="AB4" s="11">
        <v>0</v>
      </c>
      <c r="AC4" s="482" t="e">
        <f t="shared" ref="AC4:AC10" si="5">$H4-((H4/D4)*((12-C4+1)/12))</f>
        <v>#DIV/0!</v>
      </c>
      <c r="AD4" s="11" t="e">
        <f t="shared" ref="AD4:AQ4" si="6">IF(AC4&lt;($H4/$D4),0,IF(AC4&lt;($H4/$D4),$H4-AC4,AC4-($H4/$D4)))</f>
        <v>#DIV/0!</v>
      </c>
      <c r="AE4" s="11" t="e">
        <f t="shared" si="6"/>
        <v>#DIV/0!</v>
      </c>
      <c r="AF4" s="11" t="e">
        <f t="shared" si="6"/>
        <v>#DIV/0!</v>
      </c>
      <c r="AG4" s="11" t="e">
        <f t="shared" si="6"/>
        <v>#DIV/0!</v>
      </c>
      <c r="AH4" s="11" t="e">
        <f t="shared" si="6"/>
        <v>#DIV/0!</v>
      </c>
      <c r="AI4" s="11" t="e">
        <f t="shared" si="6"/>
        <v>#DIV/0!</v>
      </c>
      <c r="AJ4" s="11" t="e">
        <f t="shared" si="6"/>
        <v>#DIV/0!</v>
      </c>
      <c r="AK4" s="11" t="e">
        <f t="shared" si="6"/>
        <v>#DIV/0!</v>
      </c>
      <c r="AL4" s="11" t="e">
        <f t="shared" si="6"/>
        <v>#DIV/0!</v>
      </c>
      <c r="AM4" s="11" t="e">
        <f t="shared" si="6"/>
        <v>#DIV/0!</v>
      </c>
      <c r="AN4" s="11" t="e">
        <f t="shared" si="6"/>
        <v>#DIV/0!</v>
      </c>
      <c r="AO4" s="11" t="e">
        <f t="shared" si="6"/>
        <v>#DIV/0!</v>
      </c>
      <c r="AP4" s="11" t="e">
        <f t="shared" si="6"/>
        <v>#DIV/0!</v>
      </c>
      <c r="AQ4" s="11" t="e">
        <f t="shared" si="6"/>
        <v>#DIV/0!</v>
      </c>
      <c r="AR4" s="360"/>
      <c r="AS4" s="360"/>
      <c r="AT4" s="11"/>
      <c r="AU4" s="11"/>
    </row>
    <row r="5" spans="1:63" x14ac:dyDescent="0.25">
      <c r="A5" s="2030"/>
      <c r="B5" s="910"/>
      <c r="C5" s="910"/>
      <c r="D5" s="910"/>
      <c r="E5" s="909"/>
      <c r="F5" s="2031"/>
      <c r="G5" s="2031"/>
      <c r="H5" s="898" t="e">
        <f t="shared" si="0"/>
        <v>#DIV/0!</v>
      </c>
      <c r="I5" s="900">
        <f t="shared" ref="I5:I10" si="7">IF(AND($D$2&gt;=B5,$D$2&lt;B5+D5-1),-PPMT(E5,$D$2-B5+2,D5,H5,,1),0)</f>
        <v>0</v>
      </c>
      <c r="J5" s="859">
        <f t="shared" si="1"/>
        <v>0</v>
      </c>
      <c r="K5" s="894">
        <f t="shared" ref="K5:K10" si="8">SUM(I5:J5)</f>
        <v>0</v>
      </c>
      <c r="L5" s="859">
        <f t="shared" si="2"/>
        <v>0</v>
      </c>
      <c r="M5" s="894">
        <f t="shared" si="3"/>
        <v>0</v>
      </c>
      <c r="N5" s="839">
        <f t="shared" si="4"/>
        <v>0</v>
      </c>
      <c r="O5" s="886"/>
      <c r="P5" s="14"/>
      <c r="R5" s="11"/>
      <c r="S5" s="11"/>
      <c r="T5" s="11"/>
      <c r="U5" s="11"/>
      <c r="V5" s="11"/>
      <c r="W5" s="11"/>
      <c r="X5" s="11"/>
      <c r="Y5" s="11"/>
      <c r="Z5" s="11"/>
      <c r="AA5" s="11"/>
      <c r="AB5" s="11">
        <v>0</v>
      </c>
      <c r="AC5" s="482" t="e">
        <f t="shared" si="5"/>
        <v>#DIV/0!</v>
      </c>
      <c r="AD5" s="11" t="e">
        <f t="shared" ref="AD5:AQ5" si="9">IF(AC5&lt;($H5/$D5),0,IF(AC5&lt;($H5/$D5),$H5-AC5,AC5-($H5/$D5)))</f>
        <v>#DIV/0!</v>
      </c>
      <c r="AE5" s="11" t="e">
        <f t="shared" si="9"/>
        <v>#DIV/0!</v>
      </c>
      <c r="AF5" s="11" t="e">
        <f t="shared" si="9"/>
        <v>#DIV/0!</v>
      </c>
      <c r="AG5" s="11" t="e">
        <f t="shared" si="9"/>
        <v>#DIV/0!</v>
      </c>
      <c r="AH5" s="11" t="e">
        <f t="shared" si="9"/>
        <v>#DIV/0!</v>
      </c>
      <c r="AI5" s="11" t="e">
        <f t="shared" si="9"/>
        <v>#DIV/0!</v>
      </c>
      <c r="AJ5" s="11" t="e">
        <f t="shared" si="9"/>
        <v>#DIV/0!</v>
      </c>
      <c r="AK5" s="11" t="e">
        <f t="shared" si="9"/>
        <v>#DIV/0!</v>
      </c>
      <c r="AL5" s="11" t="e">
        <f t="shared" si="9"/>
        <v>#DIV/0!</v>
      </c>
      <c r="AM5" s="11" t="e">
        <f t="shared" si="9"/>
        <v>#DIV/0!</v>
      </c>
      <c r="AN5" s="11" t="e">
        <f t="shared" si="9"/>
        <v>#DIV/0!</v>
      </c>
      <c r="AO5" s="11" t="e">
        <f t="shared" si="9"/>
        <v>#DIV/0!</v>
      </c>
      <c r="AP5" s="11" t="e">
        <f t="shared" si="9"/>
        <v>#DIV/0!</v>
      </c>
      <c r="AQ5" s="11" t="e">
        <f t="shared" si="9"/>
        <v>#DIV/0!</v>
      </c>
    </row>
    <row r="6" spans="1:63" x14ac:dyDescent="0.25">
      <c r="A6" s="2030"/>
      <c r="B6" s="910"/>
      <c r="C6" s="910"/>
      <c r="D6" s="910"/>
      <c r="E6" s="909"/>
      <c r="F6" s="2031"/>
      <c r="G6" s="2031"/>
      <c r="H6" s="898" t="e">
        <f t="shared" si="0"/>
        <v>#DIV/0!</v>
      </c>
      <c r="I6" s="900">
        <f t="shared" si="7"/>
        <v>0</v>
      </c>
      <c r="J6" s="859">
        <f t="shared" si="1"/>
        <v>0</v>
      </c>
      <c r="K6" s="894">
        <f t="shared" si="8"/>
        <v>0</v>
      </c>
      <c r="L6" s="859">
        <f t="shared" si="2"/>
        <v>0</v>
      </c>
      <c r="M6" s="894">
        <f t="shared" si="3"/>
        <v>0</v>
      </c>
      <c r="N6" s="839">
        <f t="shared" si="4"/>
        <v>0</v>
      </c>
      <c r="O6" s="886"/>
      <c r="P6" s="14"/>
      <c r="R6" s="11"/>
      <c r="S6" s="11"/>
      <c r="T6" s="11"/>
      <c r="U6" s="11"/>
      <c r="V6" s="11"/>
      <c r="W6" s="11"/>
      <c r="X6" s="11"/>
      <c r="Y6" s="11"/>
      <c r="Z6" s="11"/>
      <c r="AA6" s="11"/>
      <c r="AB6" s="11">
        <v>0</v>
      </c>
      <c r="AC6" s="482" t="e">
        <f t="shared" si="5"/>
        <v>#DIV/0!</v>
      </c>
      <c r="AD6" s="11" t="e">
        <f t="shared" ref="AD6:AQ6" si="10">IF(AC6&lt;($H6/$D6),0,IF(AC6&lt;($H6/$D6),$H6-AC6,AC6-($H6/$D6)))</f>
        <v>#DIV/0!</v>
      </c>
      <c r="AE6" s="11" t="e">
        <f t="shared" si="10"/>
        <v>#DIV/0!</v>
      </c>
      <c r="AF6" s="11" t="e">
        <f t="shared" si="10"/>
        <v>#DIV/0!</v>
      </c>
      <c r="AG6" s="11" t="e">
        <f t="shared" si="10"/>
        <v>#DIV/0!</v>
      </c>
      <c r="AH6" s="11" t="e">
        <f t="shared" si="10"/>
        <v>#DIV/0!</v>
      </c>
      <c r="AI6" s="11" t="e">
        <f t="shared" si="10"/>
        <v>#DIV/0!</v>
      </c>
      <c r="AJ6" s="11" t="e">
        <f t="shared" si="10"/>
        <v>#DIV/0!</v>
      </c>
      <c r="AK6" s="11" t="e">
        <f t="shared" si="10"/>
        <v>#DIV/0!</v>
      </c>
      <c r="AL6" s="11" t="e">
        <f t="shared" si="10"/>
        <v>#DIV/0!</v>
      </c>
      <c r="AM6" s="11" t="e">
        <f t="shared" si="10"/>
        <v>#DIV/0!</v>
      </c>
      <c r="AN6" s="11" t="e">
        <f t="shared" si="10"/>
        <v>#DIV/0!</v>
      </c>
      <c r="AO6" s="11" t="e">
        <f t="shared" si="10"/>
        <v>#DIV/0!</v>
      </c>
      <c r="AP6" s="11" t="e">
        <f t="shared" si="10"/>
        <v>#DIV/0!</v>
      </c>
      <c r="AQ6" s="11" t="e">
        <f t="shared" si="10"/>
        <v>#DIV/0!</v>
      </c>
    </row>
    <row r="7" spans="1:63" x14ac:dyDescent="0.25">
      <c r="A7" s="2030"/>
      <c r="B7" s="910"/>
      <c r="C7" s="910"/>
      <c r="D7" s="910"/>
      <c r="E7" s="909"/>
      <c r="F7" s="2031"/>
      <c r="G7" s="2031"/>
      <c r="H7" s="898" t="e">
        <f t="shared" si="0"/>
        <v>#DIV/0!</v>
      </c>
      <c r="I7" s="900">
        <f t="shared" si="7"/>
        <v>0</v>
      </c>
      <c r="J7" s="859">
        <f t="shared" si="1"/>
        <v>0</v>
      </c>
      <c r="K7" s="894">
        <f t="shared" si="8"/>
        <v>0</v>
      </c>
      <c r="L7" s="859">
        <f t="shared" si="2"/>
        <v>0</v>
      </c>
      <c r="M7" s="894">
        <f t="shared" si="3"/>
        <v>0</v>
      </c>
      <c r="N7" s="839">
        <f t="shared" si="4"/>
        <v>0</v>
      </c>
      <c r="O7" s="886"/>
      <c r="P7" s="14"/>
      <c r="R7" s="11"/>
      <c r="S7" s="11"/>
      <c r="T7" s="11"/>
      <c r="U7" s="11"/>
      <c r="V7" s="11"/>
      <c r="W7" s="11"/>
      <c r="X7" s="11"/>
      <c r="Y7" s="11"/>
      <c r="Z7" s="11"/>
      <c r="AA7" s="11"/>
      <c r="AB7" s="11">
        <v>0</v>
      </c>
      <c r="AC7" s="482" t="e">
        <f t="shared" si="5"/>
        <v>#DIV/0!</v>
      </c>
      <c r="AD7" s="11" t="e">
        <f t="shared" ref="AD7:AQ7" si="11">IF(AC7&lt;($H7/$D7),0,IF(AC7&lt;($H7/$D7),$H7-AC7,AC7-($H7/$D7)))</f>
        <v>#DIV/0!</v>
      </c>
      <c r="AE7" s="11" t="e">
        <f t="shared" si="11"/>
        <v>#DIV/0!</v>
      </c>
      <c r="AF7" s="11" t="e">
        <f t="shared" si="11"/>
        <v>#DIV/0!</v>
      </c>
      <c r="AG7" s="11" t="e">
        <f t="shared" si="11"/>
        <v>#DIV/0!</v>
      </c>
      <c r="AH7" s="11" t="e">
        <f t="shared" si="11"/>
        <v>#DIV/0!</v>
      </c>
      <c r="AI7" s="11" t="e">
        <f t="shared" si="11"/>
        <v>#DIV/0!</v>
      </c>
      <c r="AJ7" s="11" t="e">
        <f t="shared" si="11"/>
        <v>#DIV/0!</v>
      </c>
      <c r="AK7" s="11" t="e">
        <f t="shared" si="11"/>
        <v>#DIV/0!</v>
      </c>
      <c r="AL7" s="11" t="e">
        <f t="shared" si="11"/>
        <v>#DIV/0!</v>
      </c>
      <c r="AM7" s="11" t="e">
        <f t="shared" si="11"/>
        <v>#DIV/0!</v>
      </c>
      <c r="AN7" s="11" t="e">
        <f t="shared" si="11"/>
        <v>#DIV/0!</v>
      </c>
      <c r="AO7" s="11" t="e">
        <f t="shared" si="11"/>
        <v>#DIV/0!</v>
      </c>
      <c r="AP7" s="11" t="e">
        <f t="shared" si="11"/>
        <v>#DIV/0!</v>
      </c>
      <c r="AQ7" s="11" t="e">
        <f t="shared" si="11"/>
        <v>#DIV/0!</v>
      </c>
    </row>
    <row r="8" spans="1:63" x14ac:dyDescent="0.25">
      <c r="A8" s="2030"/>
      <c r="B8" s="910"/>
      <c r="C8" s="910"/>
      <c r="D8" s="910"/>
      <c r="E8" s="909"/>
      <c r="F8" s="2031"/>
      <c r="G8" s="2031"/>
      <c r="H8" s="898" t="e">
        <f t="shared" si="0"/>
        <v>#DIV/0!</v>
      </c>
      <c r="I8" s="900">
        <f t="shared" si="7"/>
        <v>0</v>
      </c>
      <c r="J8" s="859">
        <f t="shared" si="1"/>
        <v>0</v>
      </c>
      <c r="K8" s="894">
        <f t="shared" si="8"/>
        <v>0</v>
      </c>
      <c r="L8" s="859">
        <f t="shared" si="2"/>
        <v>0</v>
      </c>
      <c r="M8" s="894">
        <f t="shared" si="3"/>
        <v>0</v>
      </c>
      <c r="N8" s="839">
        <f t="shared" si="4"/>
        <v>0</v>
      </c>
      <c r="O8" s="886"/>
      <c r="P8" s="14"/>
      <c r="R8" s="11"/>
      <c r="S8" s="11"/>
      <c r="T8" s="11"/>
      <c r="U8" s="11"/>
      <c r="V8" s="11"/>
      <c r="W8" s="11"/>
      <c r="X8" s="11"/>
      <c r="Y8" s="11"/>
      <c r="Z8" s="11"/>
      <c r="AA8" s="11"/>
      <c r="AB8" s="11">
        <v>0</v>
      </c>
      <c r="AC8" s="482" t="e">
        <f t="shared" si="5"/>
        <v>#DIV/0!</v>
      </c>
      <c r="AD8" s="11" t="e">
        <f t="shared" ref="AD8:AQ8" si="12">IF(AC8&lt;($H8/$D8),0,IF(AC8&lt;($H8/$D8),$H8-AC8,AC8-($H8/$D8)))</f>
        <v>#DIV/0!</v>
      </c>
      <c r="AE8" s="11" t="e">
        <f t="shared" si="12"/>
        <v>#DIV/0!</v>
      </c>
      <c r="AF8" s="11" t="e">
        <f t="shared" si="12"/>
        <v>#DIV/0!</v>
      </c>
      <c r="AG8" s="11" t="e">
        <f t="shared" si="12"/>
        <v>#DIV/0!</v>
      </c>
      <c r="AH8" s="11" t="e">
        <f t="shared" si="12"/>
        <v>#DIV/0!</v>
      </c>
      <c r="AI8" s="11" t="e">
        <f t="shared" si="12"/>
        <v>#DIV/0!</v>
      </c>
      <c r="AJ8" s="11" t="e">
        <f t="shared" si="12"/>
        <v>#DIV/0!</v>
      </c>
      <c r="AK8" s="11" t="e">
        <f t="shared" si="12"/>
        <v>#DIV/0!</v>
      </c>
      <c r="AL8" s="11" t="e">
        <f t="shared" si="12"/>
        <v>#DIV/0!</v>
      </c>
      <c r="AM8" s="11" t="e">
        <f t="shared" si="12"/>
        <v>#DIV/0!</v>
      </c>
      <c r="AN8" s="11" t="e">
        <f t="shared" si="12"/>
        <v>#DIV/0!</v>
      </c>
      <c r="AO8" s="11" t="e">
        <f t="shared" si="12"/>
        <v>#DIV/0!</v>
      </c>
      <c r="AP8" s="11" t="e">
        <f t="shared" si="12"/>
        <v>#DIV/0!</v>
      </c>
      <c r="AQ8" s="11" t="e">
        <f t="shared" si="12"/>
        <v>#DIV/0!</v>
      </c>
    </row>
    <row r="9" spans="1:63" x14ac:dyDescent="0.25">
      <c r="A9" s="2030"/>
      <c r="B9" s="910"/>
      <c r="C9" s="910"/>
      <c r="D9" s="910"/>
      <c r="E9" s="909"/>
      <c r="F9" s="2031"/>
      <c r="G9" s="2031"/>
      <c r="H9" s="898" t="e">
        <f t="shared" si="0"/>
        <v>#DIV/0!</v>
      </c>
      <c r="I9" s="900">
        <f t="shared" si="7"/>
        <v>0</v>
      </c>
      <c r="J9" s="859">
        <f t="shared" si="1"/>
        <v>0</v>
      </c>
      <c r="K9" s="894">
        <f t="shared" si="8"/>
        <v>0</v>
      </c>
      <c r="L9" s="859">
        <f t="shared" si="2"/>
        <v>0</v>
      </c>
      <c r="M9" s="894">
        <f t="shared" si="3"/>
        <v>0</v>
      </c>
      <c r="N9" s="839">
        <f t="shared" si="4"/>
        <v>0</v>
      </c>
      <c r="O9" s="886"/>
      <c r="P9" s="14"/>
      <c r="R9" s="11"/>
      <c r="S9" s="11"/>
      <c r="T9" s="11"/>
      <c r="U9" s="11"/>
      <c r="V9" s="11"/>
      <c r="W9" s="11"/>
      <c r="X9" s="11"/>
      <c r="Y9" s="11"/>
      <c r="Z9" s="11"/>
      <c r="AA9" s="11"/>
      <c r="AB9" s="11">
        <v>0</v>
      </c>
      <c r="AC9" s="482" t="e">
        <f t="shared" si="5"/>
        <v>#DIV/0!</v>
      </c>
      <c r="AD9" s="11" t="e">
        <f t="shared" ref="AD9:AQ9" si="13">IF(AC9&lt;($H9/$D9),0,IF(AC9&lt;($H9/$D9),$H9-AC9,AC9-($H9/$D9)))</f>
        <v>#DIV/0!</v>
      </c>
      <c r="AE9" s="11" t="e">
        <f t="shared" si="13"/>
        <v>#DIV/0!</v>
      </c>
      <c r="AF9" s="11" t="e">
        <f t="shared" si="13"/>
        <v>#DIV/0!</v>
      </c>
      <c r="AG9" s="11" t="e">
        <f t="shared" si="13"/>
        <v>#DIV/0!</v>
      </c>
      <c r="AH9" s="11" t="e">
        <f t="shared" si="13"/>
        <v>#DIV/0!</v>
      </c>
      <c r="AI9" s="11" t="e">
        <f t="shared" si="13"/>
        <v>#DIV/0!</v>
      </c>
      <c r="AJ9" s="11" t="e">
        <f t="shared" si="13"/>
        <v>#DIV/0!</v>
      </c>
      <c r="AK9" s="11" t="e">
        <f t="shared" si="13"/>
        <v>#DIV/0!</v>
      </c>
      <c r="AL9" s="11" t="e">
        <f t="shared" si="13"/>
        <v>#DIV/0!</v>
      </c>
      <c r="AM9" s="11" t="e">
        <f t="shared" si="13"/>
        <v>#DIV/0!</v>
      </c>
      <c r="AN9" s="11" t="e">
        <f t="shared" si="13"/>
        <v>#DIV/0!</v>
      </c>
      <c r="AO9" s="11" t="e">
        <f t="shared" si="13"/>
        <v>#DIV/0!</v>
      </c>
      <c r="AP9" s="11" t="e">
        <f t="shared" si="13"/>
        <v>#DIV/0!</v>
      </c>
      <c r="AQ9" s="11" t="e">
        <f t="shared" si="13"/>
        <v>#DIV/0!</v>
      </c>
    </row>
    <row r="10" spans="1:63" x14ac:dyDescent="0.25">
      <c r="A10" s="2030"/>
      <c r="B10" s="910"/>
      <c r="C10" s="910"/>
      <c r="D10" s="910"/>
      <c r="E10" s="909"/>
      <c r="F10" s="2031"/>
      <c r="G10" s="2031"/>
      <c r="H10" s="898" t="e">
        <f t="shared" si="0"/>
        <v>#DIV/0!</v>
      </c>
      <c r="I10" s="900">
        <f t="shared" si="7"/>
        <v>0</v>
      </c>
      <c r="J10" s="859">
        <f t="shared" si="1"/>
        <v>0</v>
      </c>
      <c r="K10" s="894">
        <f t="shared" si="8"/>
        <v>0</v>
      </c>
      <c r="L10" s="859">
        <f t="shared" si="2"/>
        <v>0</v>
      </c>
      <c r="M10" s="894">
        <f t="shared" si="3"/>
        <v>0</v>
      </c>
      <c r="N10" s="839">
        <f t="shared" si="4"/>
        <v>0</v>
      </c>
      <c r="O10" s="886"/>
      <c r="P10" s="14"/>
      <c r="R10" s="11"/>
      <c r="S10" s="11"/>
      <c r="T10" s="11"/>
      <c r="U10" s="11"/>
      <c r="V10" s="11"/>
      <c r="W10" s="11"/>
      <c r="X10" s="11"/>
      <c r="Y10" s="11"/>
      <c r="Z10" s="11"/>
      <c r="AA10" s="11"/>
      <c r="AB10" s="11">
        <v>0</v>
      </c>
      <c r="AC10" s="482" t="e">
        <f t="shared" si="5"/>
        <v>#DIV/0!</v>
      </c>
      <c r="AD10" s="11" t="e">
        <f t="shared" ref="AD10:AQ10" si="14">IF(AC10&lt;($H10/$D10),0,IF(AC10&lt;($H10/$D10),$H10-AC10,AC10-($H10/$D10)))</f>
        <v>#DIV/0!</v>
      </c>
      <c r="AE10" s="11" t="e">
        <f t="shared" si="14"/>
        <v>#DIV/0!</v>
      </c>
      <c r="AF10" s="11" t="e">
        <f t="shared" si="14"/>
        <v>#DIV/0!</v>
      </c>
      <c r="AG10" s="11" t="e">
        <f t="shared" si="14"/>
        <v>#DIV/0!</v>
      </c>
      <c r="AH10" s="11" t="e">
        <f t="shared" si="14"/>
        <v>#DIV/0!</v>
      </c>
      <c r="AI10" s="11" t="e">
        <f t="shared" si="14"/>
        <v>#DIV/0!</v>
      </c>
      <c r="AJ10" s="11" t="e">
        <f t="shared" si="14"/>
        <v>#DIV/0!</v>
      </c>
      <c r="AK10" s="11" t="e">
        <f t="shared" si="14"/>
        <v>#DIV/0!</v>
      </c>
      <c r="AL10" s="11" t="e">
        <f t="shared" si="14"/>
        <v>#DIV/0!</v>
      </c>
      <c r="AM10" s="11" t="e">
        <f t="shared" si="14"/>
        <v>#DIV/0!</v>
      </c>
      <c r="AN10" s="11" t="e">
        <f t="shared" si="14"/>
        <v>#DIV/0!</v>
      </c>
      <c r="AO10" s="11" t="e">
        <f t="shared" si="14"/>
        <v>#DIV/0!</v>
      </c>
      <c r="AP10" s="11" t="e">
        <f t="shared" si="14"/>
        <v>#DIV/0!</v>
      </c>
      <c r="AQ10" s="11" t="e">
        <f t="shared" si="14"/>
        <v>#DIV/0!</v>
      </c>
    </row>
    <row r="11" spans="1:63" ht="30.75" customHeight="1" thickBot="1" x14ac:dyDescent="0.3">
      <c r="A11" s="902"/>
      <c r="B11" s="903"/>
      <c r="C11" s="903"/>
      <c r="D11" s="903"/>
      <c r="E11" s="903"/>
      <c r="F11" s="903"/>
      <c r="G11" s="903"/>
      <c r="H11" s="904" t="s">
        <v>947</v>
      </c>
      <c r="I11" s="901">
        <f t="shared" ref="I11:N11" si="15">SUM(I4:I10)</f>
        <v>0</v>
      </c>
      <c r="J11" s="895">
        <f t="shared" si="15"/>
        <v>0</v>
      </c>
      <c r="K11" s="895">
        <f t="shared" si="15"/>
        <v>0</v>
      </c>
      <c r="L11" s="895">
        <f t="shared" si="15"/>
        <v>0</v>
      </c>
      <c r="M11" s="895">
        <f t="shared" si="15"/>
        <v>0</v>
      </c>
      <c r="N11" s="896">
        <f t="shared" si="15"/>
        <v>0</v>
      </c>
      <c r="O11" s="887"/>
      <c r="P11" s="887"/>
      <c r="R11" s="360"/>
      <c r="S11" s="360"/>
      <c r="T11" s="360"/>
      <c r="U11" s="360"/>
      <c r="V11" s="360"/>
      <c r="W11" s="360"/>
      <c r="X11" s="360"/>
      <c r="Y11" s="360"/>
      <c r="Z11" s="360"/>
      <c r="AA11" s="360"/>
      <c r="AC11" s="11"/>
      <c r="AD11" s="11"/>
      <c r="AE11" s="11"/>
      <c r="AF11" s="11"/>
      <c r="AG11" s="11"/>
    </row>
    <row r="12" spans="1:63" ht="20.100000000000001" customHeight="1" x14ac:dyDescent="0.25">
      <c r="A12" s="905" t="s">
        <v>950</v>
      </c>
      <c r="B12" s="905"/>
      <c r="C12" s="906"/>
      <c r="D12" s="906"/>
      <c r="E12" s="906"/>
      <c r="F12" s="906"/>
      <c r="G12" s="906"/>
      <c r="H12" s="906"/>
      <c r="I12" s="906"/>
      <c r="J12" s="906"/>
      <c r="K12" s="906"/>
      <c r="L12" s="906"/>
      <c r="M12" s="906"/>
      <c r="N12" s="888"/>
      <c r="O12" s="888"/>
      <c r="P12" s="888"/>
      <c r="Q12" s="360"/>
      <c r="R12" s="360"/>
      <c r="S12" s="360"/>
      <c r="T12" s="360"/>
      <c r="U12" s="360"/>
      <c r="V12" s="360"/>
      <c r="W12" s="360"/>
      <c r="X12" s="360"/>
      <c r="Y12" s="360"/>
      <c r="Z12" s="360"/>
      <c r="AA12" s="360"/>
      <c r="AC12" s="1"/>
      <c r="AD12" s="1"/>
      <c r="AE12" s="1"/>
      <c r="AF12" s="1"/>
      <c r="AG12" s="1"/>
    </row>
    <row r="13" spans="1:63" ht="20.100000000000001" customHeight="1" x14ac:dyDescent="0.25">
      <c r="A13" s="908" t="s">
        <v>951</v>
      </c>
      <c r="B13" s="907"/>
      <c r="C13" s="907"/>
      <c r="D13" s="907"/>
      <c r="E13" s="907"/>
      <c r="F13" s="907"/>
      <c r="G13" s="907"/>
      <c r="H13" s="907"/>
      <c r="I13" s="907"/>
      <c r="J13" s="907"/>
      <c r="K13" s="907"/>
      <c r="L13" s="907"/>
      <c r="M13" s="907"/>
    </row>
    <row r="14" spans="1:63" ht="40.5" customHeight="1" thickBot="1" x14ac:dyDescent="0.3"/>
    <row r="15" spans="1:63" ht="37.9" customHeight="1" x14ac:dyDescent="0.25">
      <c r="A15" s="1846" t="s">
        <v>601</v>
      </c>
      <c r="B15" s="1847"/>
      <c r="C15" s="1847"/>
      <c r="D15" s="1847"/>
      <c r="E15" s="1847"/>
      <c r="F15" s="1847"/>
      <c r="G15" s="1847"/>
      <c r="H15" s="1847"/>
      <c r="I15" s="1847"/>
      <c r="J15" s="1847"/>
      <c r="K15" s="1848"/>
      <c r="L15" s="273"/>
    </row>
    <row r="16" spans="1:63" x14ac:dyDescent="0.25">
      <c r="A16" s="823" t="s">
        <v>549</v>
      </c>
      <c r="B16" s="2032"/>
      <c r="C16" s="2033"/>
      <c r="D16" s="2033"/>
      <c r="E16" s="2033"/>
      <c r="F16" s="2033"/>
      <c r="G16" s="2033"/>
      <c r="H16" s="2033"/>
      <c r="I16" s="2033"/>
      <c r="J16" s="2033"/>
      <c r="K16" s="2033"/>
      <c r="L16" s="2034"/>
    </row>
    <row r="17" spans="1:17" x14ac:dyDescent="0.25">
      <c r="A17" s="724" t="s">
        <v>735</v>
      </c>
      <c r="B17" s="1055">
        <f>-PV(B18,B19,B21,,1)</f>
        <v>0</v>
      </c>
      <c r="C17" s="1056"/>
      <c r="D17" s="918"/>
      <c r="E17" s="918"/>
      <c r="F17" s="918"/>
      <c r="G17" s="203"/>
      <c r="H17" s="203"/>
      <c r="I17" s="203"/>
      <c r="J17" s="203"/>
      <c r="K17" s="203"/>
      <c r="L17" s="13"/>
    </row>
    <row r="18" spans="1:17" x14ac:dyDescent="0.25">
      <c r="A18" s="724" t="s">
        <v>550</v>
      </c>
      <c r="B18" s="909"/>
      <c r="C18" s="917"/>
      <c r="D18" s="918"/>
      <c r="E18" s="918"/>
      <c r="F18" s="918"/>
      <c r="G18" s="203"/>
      <c r="H18" s="203"/>
      <c r="I18" s="203"/>
      <c r="J18" s="203"/>
      <c r="K18" s="203"/>
      <c r="L18" s="13"/>
    </row>
    <row r="19" spans="1:17" x14ac:dyDescent="0.25">
      <c r="A19" s="724" t="s">
        <v>551</v>
      </c>
      <c r="B19" s="910"/>
      <c r="C19" s="917"/>
      <c r="D19" s="918"/>
      <c r="E19" s="918"/>
      <c r="F19" s="918"/>
      <c r="G19" s="203"/>
      <c r="H19" s="203"/>
      <c r="I19" s="203"/>
      <c r="J19" s="203"/>
      <c r="K19" s="203"/>
      <c r="L19" s="1054"/>
    </row>
    <row r="20" spans="1:17" x14ac:dyDescent="0.25">
      <c r="A20" s="724" t="s">
        <v>552</v>
      </c>
      <c r="B20" s="910"/>
      <c r="C20" s="917"/>
      <c r="D20" s="918"/>
      <c r="E20" s="918"/>
      <c r="F20" s="918"/>
      <c r="G20" s="203"/>
      <c r="H20" s="203"/>
      <c r="I20" s="203"/>
      <c r="J20" s="203"/>
      <c r="K20" s="203"/>
      <c r="L20" s="13"/>
    </row>
    <row r="21" spans="1:17" x14ac:dyDescent="0.25">
      <c r="A21" s="724" t="s">
        <v>553</v>
      </c>
      <c r="B21" s="2035"/>
      <c r="C21" s="920"/>
      <c r="D21" s="203"/>
      <c r="E21" s="203"/>
      <c r="F21" s="203"/>
      <c r="G21" s="203"/>
      <c r="H21" s="203"/>
      <c r="I21" s="203"/>
      <c r="J21" s="203"/>
      <c r="K21" s="203"/>
      <c r="L21" s="13"/>
    </row>
    <row r="22" spans="1:17" x14ac:dyDescent="0.25">
      <c r="A22" s="724" t="s">
        <v>953</v>
      </c>
      <c r="B22" s="910"/>
      <c r="C22" s="921"/>
      <c r="D22" s="919"/>
      <c r="E22" s="919"/>
      <c r="F22" s="919"/>
      <c r="G22" s="922"/>
      <c r="H22" s="1840" t="s">
        <v>554</v>
      </c>
      <c r="I22" s="1841"/>
      <c r="J22" s="1841"/>
      <c r="K22" s="1841"/>
      <c r="L22" s="1842"/>
    </row>
    <row r="23" spans="1:17" s="481" customFormat="1" ht="45" x14ac:dyDescent="0.25">
      <c r="A23" s="923" t="s">
        <v>952</v>
      </c>
      <c r="B23" s="911" t="s">
        <v>529</v>
      </c>
      <c r="C23" s="911" t="s">
        <v>680</v>
      </c>
      <c r="D23" s="911" t="s">
        <v>681</v>
      </c>
      <c r="E23" s="911" t="s">
        <v>704</v>
      </c>
      <c r="F23" s="911" t="s">
        <v>682</v>
      </c>
      <c r="G23" s="911" t="s">
        <v>992</v>
      </c>
      <c r="H23" s="1057" t="s">
        <v>76</v>
      </c>
      <c r="I23" s="1058" t="s">
        <v>543</v>
      </c>
      <c r="J23" s="1058" t="s">
        <v>247</v>
      </c>
      <c r="K23" s="1059" t="s">
        <v>545</v>
      </c>
      <c r="L23" s="1060" t="s">
        <v>905</v>
      </c>
      <c r="N23" s="84" t="s">
        <v>945</v>
      </c>
      <c r="O23" s="350" t="s">
        <v>946</v>
      </c>
    </row>
    <row r="24" spans="1:17" x14ac:dyDescent="0.25">
      <c r="A24" s="724">
        <v>1</v>
      </c>
      <c r="B24" s="728">
        <f>B22</f>
        <v>0</v>
      </c>
      <c r="C24" s="913">
        <f t="shared" ref="C24:C53" si="16">IF(A24&gt;$B$19,0,-PPMT($B$18,A24,$B$19,$B$17,,1))</f>
        <v>0</v>
      </c>
      <c r="D24" s="913">
        <f t="shared" ref="D24:D53" si="17">IF(A24&gt;$B$19,0,-IPMT($B$18,A24,$B$19,$B$17,,1))</f>
        <v>0</v>
      </c>
      <c r="E24" s="914">
        <f>B17-C24</f>
        <v>0</v>
      </c>
      <c r="F24" s="914">
        <f>C24+D24</f>
        <v>0</v>
      </c>
      <c r="G24" s="914">
        <f>C24</f>
        <v>0</v>
      </c>
      <c r="H24" s="914">
        <f t="shared" ref="H24:H52" si="18">C25</f>
        <v>0</v>
      </c>
      <c r="I24" s="914" t="str">
        <f t="shared" ref="I24:I53" si="19">IF(A24&gt;=$B$19," ",-IPMT($B$18,A24+1,$B$19,$B$17,,1)*((12-$B$20+1)/12))</f>
        <v xml:space="preserve"> </v>
      </c>
      <c r="J24" s="914">
        <f>E24-H24</f>
        <v>0</v>
      </c>
      <c r="K24" s="1052" t="e">
        <f>$B$17-(($B$17/$B$19)*((12-B20+1)/12))</f>
        <v>#DIV/0!</v>
      </c>
      <c r="L24" s="839" t="e">
        <f>(B17/B19)*((12-B20+1)/12)</f>
        <v>#DIV/0!</v>
      </c>
      <c r="N24" s="362">
        <f>H24+J24</f>
        <v>0</v>
      </c>
      <c r="O24" s="252">
        <f>IF(B24&lt;B24+($B$19),B17-L24,0)</f>
        <v>0</v>
      </c>
      <c r="P24" s="483"/>
      <c r="Q24" s="483"/>
    </row>
    <row r="25" spans="1:17" x14ac:dyDescent="0.25">
      <c r="A25" s="724">
        <v>2</v>
      </c>
      <c r="B25" s="728" t="str">
        <f t="shared" ref="B25:B28" si="20">IF(OR(B24=" ",B24&gt;=$B$22+$B$19)," ",B24+1)</f>
        <v xml:space="preserve"> </v>
      </c>
      <c r="C25" s="913">
        <f t="shared" si="16"/>
        <v>0</v>
      </c>
      <c r="D25" s="913">
        <f t="shared" si="17"/>
        <v>0</v>
      </c>
      <c r="E25" s="914">
        <f>E24-C25</f>
        <v>0</v>
      </c>
      <c r="F25" s="914">
        <f t="shared" ref="F25:F53" si="21">C25+D25</f>
        <v>0</v>
      </c>
      <c r="G25" s="914" t="str">
        <f>IF(C25=0," ",G24+C25)</f>
        <v xml:space="preserve"> </v>
      </c>
      <c r="H25" s="914">
        <f t="shared" si="18"/>
        <v>0</v>
      </c>
      <c r="I25" s="914" t="str">
        <f t="shared" si="19"/>
        <v xml:space="preserve"> </v>
      </c>
      <c r="J25" s="914">
        <f>E25-H25</f>
        <v>0</v>
      </c>
      <c r="K25" s="1052" t="e">
        <f>IF(K24-(($B$17/$B$19))&lt;0,0,(K24-(($B$17/$B$19))))</f>
        <v>#DIV/0!</v>
      </c>
      <c r="L25" s="739">
        <f t="shared" ref="L25:L53" si="22">IF(B25=B$24+($B$19),(($B$17/$B$19)*($B$20-1)/12),IF(B25&lt;B$24+($B$19),$B$17/$B$19,0))</f>
        <v>0</v>
      </c>
      <c r="N25" s="362">
        <f>H25+J25</f>
        <v>0</v>
      </c>
      <c r="O25" s="252" t="e">
        <f t="shared" ref="O25:O53" si="23">IF(B25&lt;B25+($B$19),O24-L25,0)</f>
        <v>#VALUE!</v>
      </c>
    </row>
    <row r="26" spans="1:17" x14ac:dyDescent="0.25">
      <c r="A26" s="724">
        <v>3</v>
      </c>
      <c r="B26" s="728" t="str">
        <f t="shared" si="20"/>
        <v xml:space="preserve"> </v>
      </c>
      <c r="C26" s="913">
        <f t="shared" si="16"/>
        <v>0</v>
      </c>
      <c r="D26" s="913">
        <f t="shared" si="17"/>
        <v>0</v>
      </c>
      <c r="E26" s="914">
        <f t="shared" ref="E26:E53" si="24">E25-C26</f>
        <v>0</v>
      </c>
      <c r="F26" s="914">
        <f t="shared" si="21"/>
        <v>0</v>
      </c>
      <c r="G26" s="914" t="str">
        <f t="shared" ref="G26:G53" si="25">IF(C26=0," ",G25+C26)</f>
        <v xml:space="preserve"> </v>
      </c>
      <c r="H26" s="914">
        <f t="shared" si="18"/>
        <v>0</v>
      </c>
      <c r="I26" s="914" t="str">
        <f t="shared" si="19"/>
        <v xml:space="preserve"> </v>
      </c>
      <c r="J26" s="914">
        <f t="shared" ref="J26:J53" si="26">E26-H26</f>
        <v>0</v>
      </c>
      <c r="K26" s="1052" t="e">
        <f t="shared" ref="K26:K53" si="27">IF(K25-(($B$17/$B$19))&lt;0,0,(K25-(($B$17/$B$19))))</f>
        <v>#DIV/0!</v>
      </c>
      <c r="L26" s="739">
        <f t="shared" si="22"/>
        <v>0</v>
      </c>
      <c r="N26" s="362">
        <f>H26+J26</f>
        <v>0</v>
      </c>
      <c r="O26" s="252" t="e">
        <f t="shared" si="23"/>
        <v>#VALUE!</v>
      </c>
    </row>
    <row r="27" spans="1:17" x14ac:dyDescent="0.25">
      <c r="A27" s="724">
        <v>4</v>
      </c>
      <c r="B27" s="728" t="str">
        <f t="shared" si="20"/>
        <v xml:space="preserve"> </v>
      </c>
      <c r="C27" s="913">
        <f t="shared" si="16"/>
        <v>0</v>
      </c>
      <c r="D27" s="913">
        <f t="shared" si="17"/>
        <v>0</v>
      </c>
      <c r="E27" s="914">
        <f t="shared" si="24"/>
        <v>0</v>
      </c>
      <c r="F27" s="914">
        <f t="shared" si="21"/>
        <v>0</v>
      </c>
      <c r="G27" s="914" t="str">
        <f t="shared" si="25"/>
        <v xml:space="preserve"> </v>
      </c>
      <c r="H27" s="914">
        <f>C28</f>
        <v>0</v>
      </c>
      <c r="I27" s="914" t="str">
        <f t="shared" si="19"/>
        <v xml:space="preserve"> </v>
      </c>
      <c r="J27" s="914">
        <f t="shared" si="26"/>
        <v>0</v>
      </c>
      <c r="K27" s="1052" t="e">
        <f t="shared" si="27"/>
        <v>#DIV/0!</v>
      </c>
      <c r="L27" s="739">
        <f t="shared" si="22"/>
        <v>0</v>
      </c>
      <c r="N27" s="362">
        <f>H27+J27</f>
        <v>0</v>
      </c>
      <c r="O27" s="252" t="e">
        <f t="shared" si="23"/>
        <v>#VALUE!</v>
      </c>
    </row>
    <row r="28" spans="1:17" x14ac:dyDescent="0.25">
      <c r="A28" s="724">
        <v>5</v>
      </c>
      <c r="B28" s="728" t="str">
        <f t="shared" si="20"/>
        <v xml:space="preserve"> </v>
      </c>
      <c r="C28" s="913">
        <f t="shared" si="16"/>
        <v>0</v>
      </c>
      <c r="D28" s="913">
        <f t="shared" si="17"/>
        <v>0</v>
      </c>
      <c r="E28" s="914">
        <f t="shared" si="24"/>
        <v>0</v>
      </c>
      <c r="F28" s="914">
        <f t="shared" si="21"/>
        <v>0</v>
      </c>
      <c r="G28" s="914" t="str">
        <f t="shared" si="25"/>
        <v xml:space="preserve"> </v>
      </c>
      <c r="H28" s="914">
        <f t="shared" si="18"/>
        <v>0</v>
      </c>
      <c r="I28" s="914" t="str">
        <f t="shared" si="19"/>
        <v xml:space="preserve"> </v>
      </c>
      <c r="J28" s="914">
        <f t="shared" si="26"/>
        <v>0</v>
      </c>
      <c r="K28" s="1052" t="e">
        <f t="shared" si="27"/>
        <v>#DIV/0!</v>
      </c>
      <c r="L28" s="739">
        <f t="shared" si="22"/>
        <v>0</v>
      </c>
      <c r="N28" s="362">
        <f>H28+J28</f>
        <v>0</v>
      </c>
      <c r="O28" s="252" t="e">
        <f t="shared" si="23"/>
        <v>#VALUE!</v>
      </c>
    </row>
    <row r="29" spans="1:17" x14ac:dyDescent="0.25">
      <c r="A29" s="724">
        <v>6</v>
      </c>
      <c r="B29" s="728" t="str">
        <f t="shared" ref="B29:B53" si="28">IF(OR(B28=" ",B28&gt;=$B$22+$B$19)," ",B28+1)</f>
        <v xml:space="preserve"> </v>
      </c>
      <c r="C29" s="913">
        <f t="shared" si="16"/>
        <v>0</v>
      </c>
      <c r="D29" s="913">
        <f t="shared" si="17"/>
        <v>0</v>
      </c>
      <c r="E29" s="914">
        <f t="shared" si="24"/>
        <v>0</v>
      </c>
      <c r="F29" s="914">
        <f t="shared" si="21"/>
        <v>0</v>
      </c>
      <c r="G29" s="914" t="str">
        <f t="shared" si="25"/>
        <v xml:space="preserve"> </v>
      </c>
      <c r="H29" s="914">
        <f t="shared" si="18"/>
        <v>0</v>
      </c>
      <c r="I29" s="914" t="str">
        <f t="shared" si="19"/>
        <v xml:space="preserve"> </v>
      </c>
      <c r="J29" s="914">
        <f t="shared" si="26"/>
        <v>0</v>
      </c>
      <c r="K29" s="1052" t="e">
        <f t="shared" si="27"/>
        <v>#DIV/0!</v>
      </c>
      <c r="L29" s="739">
        <f t="shared" si="22"/>
        <v>0</v>
      </c>
      <c r="N29" s="362"/>
      <c r="O29" s="252" t="e">
        <f t="shared" si="23"/>
        <v>#VALUE!</v>
      </c>
    </row>
    <row r="30" spans="1:17" x14ac:dyDescent="0.25">
      <c r="A30" s="724">
        <v>7</v>
      </c>
      <c r="B30" s="728" t="str">
        <f t="shared" si="28"/>
        <v xml:space="preserve"> </v>
      </c>
      <c r="C30" s="913">
        <f t="shared" si="16"/>
        <v>0</v>
      </c>
      <c r="D30" s="913">
        <f t="shared" si="17"/>
        <v>0</v>
      </c>
      <c r="E30" s="914">
        <f t="shared" si="24"/>
        <v>0</v>
      </c>
      <c r="F30" s="914">
        <f t="shared" si="21"/>
        <v>0</v>
      </c>
      <c r="G30" s="914" t="str">
        <f t="shared" si="25"/>
        <v xml:space="preserve"> </v>
      </c>
      <c r="H30" s="914">
        <f t="shared" si="18"/>
        <v>0</v>
      </c>
      <c r="I30" s="914" t="str">
        <f t="shared" si="19"/>
        <v xml:space="preserve"> </v>
      </c>
      <c r="J30" s="914">
        <f t="shared" si="26"/>
        <v>0</v>
      </c>
      <c r="K30" s="1052" t="e">
        <f t="shared" si="27"/>
        <v>#DIV/0!</v>
      </c>
      <c r="L30" s="739">
        <f t="shared" si="22"/>
        <v>0</v>
      </c>
      <c r="N30" s="614"/>
      <c r="O30" s="252" t="e">
        <f t="shared" si="23"/>
        <v>#VALUE!</v>
      </c>
    </row>
    <row r="31" spans="1:17" x14ac:dyDescent="0.25">
      <c r="A31" s="724">
        <v>8</v>
      </c>
      <c r="B31" s="728" t="str">
        <f t="shared" si="28"/>
        <v xml:space="preserve"> </v>
      </c>
      <c r="C31" s="913">
        <f t="shared" si="16"/>
        <v>0</v>
      </c>
      <c r="D31" s="913">
        <f t="shared" si="17"/>
        <v>0</v>
      </c>
      <c r="E31" s="914">
        <f t="shared" si="24"/>
        <v>0</v>
      </c>
      <c r="F31" s="914">
        <f t="shared" si="21"/>
        <v>0</v>
      </c>
      <c r="G31" s="914" t="str">
        <f t="shared" si="25"/>
        <v xml:space="preserve"> </v>
      </c>
      <c r="H31" s="914">
        <f t="shared" si="18"/>
        <v>0</v>
      </c>
      <c r="I31" s="914" t="str">
        <f t="shared" si="19"/>
        <v xml:space="preserve"> </v>
      </c>
      <c r="J31" s="914">
        <f t="shared" si="26"/>
        <v>0</v>
      </c>
      <c r="K31" s="1052" t="e">
        <f t="shared" si="27"/>
        <v>#DIV/0!</v>
      </c>
      <c r="L31" s="739">
        <f t="shared" si="22"/>
        <v>0</v>
      </c>
      <c r="N31" s="614"/>
      <c r="O31" s="252" t="e">
        <f t="shared" si="23"/>
        <v>#VALUE!</v>
      </c>
    </row>
    <row r="32" spans="1:17" x14ac:dyDescent="0.25">
      <c r="A32" s="724">
        <v>9</v>
      </c>
      <c r="B32" s="728" t="str">
        <f t="shared" si="28"/>
        <v xml:space="preserve"> </v>
      </c>
      <c r="C32" s="913">
        <f t="shared" si="16"/>
        <v>0</v>
      </c>
      <c r="D32" s="913">
        <f t="shared" si="17"/>
        <v>0</v>
      </c>
      <c r="E32" s="914">
        <f t="shared" si="24"/>
        <v>0</v>
      </c>
      <c r="F32" s="914">
        <f t="shared" si="21"/>
        <v>0</v>
      </c>
      <c r="G32" s="914" t="str">
        <f t="shared" si="25"/>
        <v xml:space="preserve"> </v>
      </c>
      <c r="H32" s="914">
        <f t="shared" si="18"/>
        <v>0</v>
      </c>
      <c r="I32" s="914" t="str">
        <f t="shared" si="19"/>
        <v xml:space="preserve"> </v>
      </c>
      <c r="J32" s="914">
        <f t="shared" si="26"/>
        <v>0</v>
      </c>
      <c r="K32" s="1052" t="e">
        <f t="shared" si="27"/>
        <v>#DIV/0!</v>
      </c>
      <c r="L32" s="739">
        <f t="shared" si="22"/>
        <v>0</v>
      </c>
      <c r="N32" s="614"/>
      <c r="O32" s="252" t="e">
        <f t="shared" si="23"/>
        <v>#VALUE!</v>
      </c>
    </row>
    <row r="33" spans="1:15" x14ac:dyDescent="0.25">
      <c r="A33" s="724">
        <v>10</v>
      </c>
      <c r="B33" s="728" t="str">
        <f t="shared" si="28"/>
        <v xml:space="preserve"> </v>
      </c>
      <c r="C33" s="913">
        <f t="shared" si="16"/>
        <v>0</v>
      </c>
      <c r="D33" s="913">
        <f t="shared" si="17"/>
        <v>0</v>
      </c>
      <c r="E33" s="914">
        <f t="shared" si="24"/>
        <v>0</v>
      </c>
      <c r="F33" s="914">
        <f t="shared" si="21"/>
        <v>0</v>
      </c>
      <c r="G33" s="914" t="str">
        <f t="shared" si="25"/>
        <v xml:space="preserve"> </v>
      </c>
      <c r="H33" s="914">
        <f t="shared" si="18"/>
        <v>0</v>
      </c>
      <c r="I33" s="914" t="str">
        <f t="shared" si="19"/>
        <v xml:space="preserve"> </v>
      </c>
      <c r="J33" s="914">
        <f t="shared" si="26"/>
        <v>0</v>
      </c>
      <c r="K33" s="1052" t="e">
        <f t="shared" si="27"/>
        <v>#DIV/0!</v>
      </c>
      <c r="L33" s="739">
        <f t="shared" si="22"/>
        <v>0</v>
      </c>
      <c r="N33" s="614"/>
      <c r="O33" s="252" t="e">
        <f t="shared" si="23"/>
        <v>#VALUE!</v>
      </c>
    </row>
    <row r="34" spans="1:15" x14ac:dyDescent="0.25">
      <c r="A34" s="724">
        <v>11</v>
      </c>
      <c r="B34" s="728" t="str">
        <f t="shared" si="28"/>
        <v xml:space="preserve"> </v>
      </c>
      <c r="C34" s="913">
        <f t="shared" si="16"/>
        <v>0</v>
      </c>
      <c r="D34" s="913">
        <f t="shared" si="17"/>
        <v>0</v>
      </c>
      <c r="E34" s="914">
        <f t="shared" si="24"/>
        <v>0</v>
      </c>
      <c r="F34" s="914">
        <f t="shared" si="21"/>
        <v>0</v>
      </c>
      <c r="G34" s="914" t="str">
        <f t="shared" si="25"/>
        <v xml:space="preserve"> </v>
      </c>
      <c r="H34" s="914">
        <f t="shared" si="18"/>
        <v>0</v>
      </c>
      <c r="I34" s="914" t="str">
        <f t="shared" si="19"/>
        <v xml:space="preserve"> </v>
      </c>
      <c r="J34" s="914">
        <f t="shared" si="26"/>
        <v>0</v>
      </c>
      <c r="K34" s="1052" t="e">
        <f t="shared" si="27"/>
        <v>#DIV/0!</v>
      </c>
      <c r="L34" s="739">
        <f t="shared" si="22"/>
        <v>0</v>
      </c>
      <c r="N34" s="614"/>
      <c r="O34" s="252" t="e">
        <f t="shared" si="23"/>
        <v>#VALUE!</v>
      </c>
    </row>
    <row r="35" spans="1:15" x14ac:dyDescent="0.25">
      <c r="A35" s="724">
        <v>12</v>
      </c>
      <c r="B35" s="728" t="str">
        <f t="shared" si="28"/>
        <v xml:space="preserve"> </v>
      </c>
      <c r="C35" s="913">
        <f t="shared" si="16"/>
        <v>0</v>
      </c>
      <c r="D35" s="913">
        <f t="shared" si="17"/>
        <v>0</v>
      </c>
      <c r="E35" s="914">
        <f t="shared" si="24"/>
        <v>0</v>
      </c>
      <c r="F35" s="914">
        <f t="shared" si="21"/>
        <v>0</v>
      </c>
      <c r="G35" s="914" t="str">
        <f t="shared" si="25"/>
        <v xml:space="preserve"> </v>
      </c>
      <c r="H35" s="914">
        <f t="shared" si="18"/>
        <v>0</v>
      </c>
      <c r="I35" s="914" t="str">
        <f t="shared" si="19"/>
        <v xml:space="preserve"> </v>
      </c>
      <c r="J35" s="914">
        <f t="shared" si="26"/>
        <v>0</v>
      </c>
      <c r="K35" s="1052" t="e">
        <f t="shared" si="27"/>
        <v>#DIV/0!</v>
      </c>
      <c r="L35" s="739">
        <f t="shared" si="22"/>
        <v>0</v>
      </c>
      <c r="N35" s="614"/>
      <c r="O35" s="252" t="e">
        <f t="shared" si="23"/>
        <v>#VALUE!</v>
      </c>
    </row>
    <row r="36" spans="1:15" x14ac:dyDescent="0.25">
      <c r="A36" s="724">
        <v>13</v>
      </c>
      <c r="B36" s="728" t="str">
        <f t="shared" si="28"/>
        <v xml:space="preserve"> </v>
      </c>
      <c r="C36" s="913">
        <f t="shared" si="16"/>
        <v>0</v>
      </c>
      <c r="D36" s="913">
        <f t="shared" si="17"/>
        <v>0</v>
      </c>
      <c r="E36" s="914">
        <f t="shared" si="24"/>
        <v>0</v>
      </c>
      <c r="F36" s="914">
        <f t="shared" si="21"/>
        <v>0</v>
      </c>
      <c r="G36" s="914" t="str">
        <f t="shared" si="25"/>
        <v xml:space="preserve"> </v>
      </c>
      <c r="H36" s="914">
        <f t="shared" si="18"/>
        <v>0</v>
      </c>
      <c r="I36" s="914" t="str">
        <f t="shared" si="19"/>
        <v xml:space="preserve"> </v>
      </c>
      <c r="J36" s="914">
        <f t="shared" si="26"/>
        <v>0</v>
      </c>
      <c r="K36" s="1052" t="e">
        <f t="shared" si="27"/>
        <v>#DIV/0!</v>
      </c>
      <c r="L36" s="739">
        <f t="shared" si="22"/>
        <v>0</v>
      </c>
      <c r="N36" s="614"/>
      <c r="O36" s="252" t="e">
        <f t="shared" si="23"/>
        <v>#VALUE!</v>
      </c>
    </row>
    <row r="37" spans="1:15" x14ac:dyDescent="0.25">
      <c r="A37" s="724">
        <v>14</v>
      </c>
      <c r="B37" s="728" t="str">
        <f t="shared" si="28"/>
        <v xml:space="preserve"> </v>
      </c>
      <c r="C37" s="913">
        <f t="shared" si="16"/>
        <v>0</v>
      </c>
      <c r="D37" s="913">
        <f t="shared" si="17"/>
        <v>0</v>
      </c>
      <c r="E37" s="914">
        <f t="shared" si="24"/>
        <v>0</v>
      </c>
      <c r="F37" s="914">
        <f t="shared" si="21"/>
        <v>0</v>
      </c>
      <c r="G37" s="914" t="str">
        <f t="shared" si="25"/>
        <v xml:space="preserve"> </v>
      </c>
      <c r="H37" s="914">
        <f t="shared" si="18"/>
        <v>0</v>
      </c>
      <c r="I37" s="914" t="str">
        <f t="shared" si="19"/>
        <v xml:space="preserve"> </v>
      </c>
      <c r="J37" s="914">
        <f t="shared" si="26"/>
        <v>0</v>
      </c>
      <c r="K37" s="1052" t="e">
        <f t="shared" si="27"/>
        <v>#DIV/0!</v>
      </c>
      <c r="L37" s="739">
        <f t="shared" si="22"/>
        <v>0</v>
      </c>
      <c r="N37" s="614"/>
      <c r="O37" s="252" t="e">
        <f t="shared" si="23"/>
        <v>#VALUE!</v>
      </c>
    </row>
    <row r="38" spans="1:15" x14ac:dyDescent="0.25">
      <c r="A38" s="724">
        <v>15</v>
      </c>
      <c r="B38" s="728" t="str">
        <f t="shared" si="28"/>
        <v xml:space="preserve"> </v>
      </c>
      <c r="C38" s="913">
        <f t="shared" si="16"/>
        <v>0</v>
      </c>
      <c r="D38" s="913">
        <f t="shared" si="17"/>
        <v>0</v>
      </c>
      <c r="E38" s="914">
        <f t="shared" si="24"/>
        <v>0</v>
      </c>
      <c r="F38" s="914">
        <f t="shared" si="21"/>
        <v>0</v>
      </c>
      <c r="G38" s="914" t="str">
        <f t="shared" si="25"/>
        <v xml:space="preserve"> </v>
      </c>
      <c r="H38" s="914">
        <f t="shared" si="18"/>
        <v>0</v>
      </c>
      <c r="I38" s="914" t="str">
        <f t="shared" si="19"/>
        <v xml:space="preserve"> </v>
      </c>
      <c r="J38" s="914">
        <f t="shared" si="26"/>
        <v>0</v>
      </c>
      <c r="K38" s="1052" t="e">
        <f t="shared" si="27"/>
        <v>#DIV/0!</v>
      </c>
      <c r="L38" s="739">
        <f t="shared" si="22"/>
        <v>0</v>
      </c>
      <c r="N38" s="614"/>
      <c r="O38" s="252" t="e">
        <f t="shared" si="23"/>
        <v>#VALUE!</v>
      </c>
    </row>
    <row r="39" spans="1:15" x14ac:dyDescent="0.25">
      <c r="A39" s="724">
        <v>16</v>
      </c>
      <c r="B39" s="728" t="str">
        <f t="shared" si="28"/>
        <v xml:space="preserve"> </v>
      </c>
      <c r="C39" s="913">
        <f t="shared" si="16"/>
        <v>0</v>
      </c>
      <c r="D39" s="913">
        <f t="shared" si="17"/>
        <v>0</v>
      </c>
      <c r="E39" s="914">
        <f t="shared" si="24"/>
        <v>0</v>
      </c>
      <c r="F39" s="914">
        <f t="shared" si="21"/>
        <v>0</v>
      </c>
      <c r="G39" s="914" t="str">
        <f t="shared" si="25"/>
        <v xml:space="preserve"> </v>
      </c>
      <c r="H39" s="914">
        <f t="shared" si="18"/>
        <v>0</v>
      </c>
      <c r="I39" s="914" t="str">
        <f t="shared" si="19"/>
        <v xml:space="preserve"> </v>
      </c>
      <c r="J39" s="914">
        <f t="shared" si="26"/>
        <v>0</v>
      </c>
      <c r="K39" s="1052" t="e">
        <f t="shared" si="27"/>
        <v>#DIV/0!</v>
      </c>
      <c r="L39" s="739">
        <f t="shared" si="22"/>
        <v>0</v>
      </c>
      <c r="N39" s="614"/>
      <c r="O39" s="252" t="e">
        <f t="shared" si="23"/>
        <v>#VALUE!</v>
      </c>
    </row>
    <row r="40" spans="1:15" x14ac:dyDescent="0.25">
      <c r="A40" s="724">
        <v>17</v>
      </c>
      <c r="B40" s="728" t="str">
        <f t="shared" si="28"/>
        <v xml:space="preserve"> </v>
      </c>
      <c r="C40" s="913">
        <f t="shared" si="16"/>
        <v>0</v>
      </c>
      <c r="D40" s="913">
        <f t="shared" si="17"/>
        <v>0</v>
      </c>
      <c r="E40" s="914">
        <f t="shared" si="24"/>
        <v>0</v>
      </c>
      <c r="F40" s="914">
        <f t="shared" si="21"/>
        <v>0</v>
      </c>
      <c r="G40" s="914" t="str">
        <f t="shared" si="25"/>
        <v xml:space="preserve"> </v>
      </c>
      <c r="H40" s="914">
        <f t="shared" si="18"/>
        <v>0</v>
      </c>
      <c r="I40" s="914" t="str">
        <f t="shared" si="19"/>
        <v xml:space="preserve"> </v>
      </c>
      <c r="J40" s="914">
        <f t="shared" si="26"/>
        <v>0</v>
      </c>
      <c r="K40" s="1052" t="e">
        <f t="shared" si="27"/>
        <v>#DIV/0!</v>
      </c>
      <c r="L40" s="739">
        <f t="shared" si="22"/>
        <v>0</v>
      </c>
      <c r="N40" s="614"/>
      <c r="O40" s="252" t="e">
        <f t="shared" si="23"/>
        <v>#VALUE!</v>
      </c>
    </row>
    <row r="41" spans="1:15" x14ac:dyDescent="0.25">
      <c r="A41" s="724">
        <v>18</v>
      </c>
      <c r="B41" s="728" t="str">
        <f t="shared" si="28"/>
        <v xml:space="preserve"> </v>
      </c>
      <c r="C41" s="913">
        <f t="shared" si="16"/>
        <v>0</v>
      </c>
      <c r="D41" s="913">
        <f t="shared" si="17"/>
        <v>0</v>
      </c>
      <c r="E41" s="914">
        <f t="shared" si="24"/>
        <v>0</v>
      </c>
      <c r="F41" s="914">
        <f t="shared" si="21"/>
        <v>0</v>
      </c>
      <c r="G41" s="914" t="str">
        <f t="shared" si="25"/>
        <v xml:space="preserve"> </v>
      </c>
      <c r="H41" s="914">
        <f t="shared" si="18"/>
        <v>0</v>
      </c>
      <c r="I41" s="914" t="str">
        <f t="shared" si="19"/>
        <v xml:space="preserve"> </v>
      </c>
      <c r="J41" s="914">
        <f t="shared" si="26"/>
        <v>0</v>
      </c>
      <c r="K41" s="1052" t="e">
        <f t="shared" si="27"/>
        <v>#DIV/0!</v>
      </c>
      <c r="L41" s="739">
        <f t="shared" si="22"/>
        <v>0</v>
      </c>
      <c r="N41" s="614"/>
      <c r="O41" s="252" t="e">
        <f t="shared" si="23"/>
        <v>#VALUE!</v>
      </c>
    </row>
    <row r="42" spans="1:15" x14ac:dyDescent="0.25">
      <c r="A42" s="724">
        <v>19</v>
      </c>
      <c r="B42" s="728" t="str">
        <f t="shared" si="28"/>
        <v xml:space="preserve"> </v>
      </c>
      <c r="C42" s="913">
        <f t="shared" si="16"/>
        <v>0</v>
      </c>
      <c r="D42" s="913">
        <f t="shared" si="17"/>
        <v>0</v>
      </c>
      <c r="E42" s="914">
        <f t="shared" si="24"/>
        <v>0</v>
      </c>
      <c r="F42" s="914">
        <f t="shared" si="21"/>
        <v>0</v>
      </c>
      <c r="G42" s="914" t="str">
        <f t="shared" si="25"/>
        <v xml:space="preserve"> </v>
      </c>
      <c r="H42" s="914">
        <f t="shared" si="18"/>
        <v>0</v>
      </c>
      <c r="I42" s="914" t="str">
        <f t="shared" si="19"/>
        <v xml:space="preserve"> </v>
      </c>
      <c r="J42" s="914">
        <f t="shared" si="26"/>
        <v>0</v>
      </c>
      <c r="K42" s="1052" t="e">
        <f t="shared" si="27"/>
        <v>#DIV/0!</v>
      </c>
      <c r="L42" s="739">
        <f t="shared" si="22"/>
        <v>0</v>
      </c>
      <c r="N42" s="614"/>
      <c r="O42" s="252" t="e">
        <f t="shared" si="23"/>
        <v>#VALUE!</v>
      </c>
    </row>
    <row r="43" spans="1:15" x14ac:dyDescent="0.25">
      <c r="A43" s="724">
        <v>20</v>
      </c>
      <c r="B43" s="728" t="str">
        <f t="shared" si="28"/>
        <v xml:space="preserve"> </v>
      </c>
      <c r="C43" s="913">
        <f t="shared" si="16"/>
        <v>0</v>
      </c>
      <c r="D43" s="913">
        <f t="shared" si="17"/>
        <v>0</v>
      </c>
      <c r="E43" s="914">
        <f t="shared" si="24"/>
        <v>0</v>
      </c>
      <c r="F43" s="914">
        <f t="shared" si="21"/>
        <v>0</v>
      </c>
      <c r="G43" s="914" t="str">
        <f t="shared" si="25"/>
        <v xml:space="preserve"> </v>
      </c>
      <c r="H43" s="914">
        <f t="shared" si="18"/>
        <v>0</v>
      </c>
      <c r="I43" s="914" t="str">
        <f t="shared" si="19"/>
        <v xml:space="preserve"> </v>
      </c>
      <c r="J43" s="914">
        <f t="shared" si="26"/>
        <v>0</v>
      </c>
      <c r="K43" s="1052" t="e">
        <f t="shared" si="27"/>
        <v>#DIV/0!</v>
      </c>
      <c r="L43" s="739">
        <f t="shared" si="22"/>
        <v>0</v>
      </c>
      <c r="N43" s="614"/>
      <c r="O43" s="252" t="e">
        <f t="shared" si="23"/>
        <v>#VALUE!</v>
      </c>
    </row>
    <row r="44" spans="1:15" x14ac:dyDescent="0.25">
      <c r="A44" s="724">
        <v>21</v>
      </c>
      <c r="B44" s="728" t="str">
        <f t="shared" si="28"/>
        <v xml:space="preserve"> </v>
      </c>
      <c r="C44" s="913">
        <f t="shared" si="16"/>
        <v>0</v>
      </c>
      <c r="D44" s="913">
        <f t="shared" si="17"/>
        <v>0</v>
      </c>
      <c r="E44" s="914">
        <f t="shared" si="24"/>
        <v>0</v>
      </c>
      <c r="F44" s="914">
        <f t="shared" si="21"/>
        <v>0</v>
      </c>
      <c r="G44" s="914" t="str">
        <f t="shared" si="25"/>
        <v xml:space="preserve"> </v>
      </c>
      <c r="H44" s="914">
        <f t="shared" si="18"/>
        <v>0</v>
      </c>
      <c r="I44" s="914" t="str">
        <f t="shared" si="19"/>
        <v xml:space="preserve"> </v>
      </c>
      <c r="J44" s="914">
        <f t="shared" si="26"/>
        <v>0</v>
      </c>
      <c r="K44" s="1052" t="e">
        <f t="shared" si="27"/>
        <v>#DIV/0!</v>
      </c>
      <c r="L44" s="739">
        <f t="shared" si="22"/>
        <v>0</v>
      </c>
      <c r="N44" s="614"/>
      <c r="O44" s="252" t="e">
        <f t="shared" si="23"/>
        <v>#VALUE!</v>
      </c>
    </row>
    <row r="45" spans="1:15" x14ac:dyDescent="0.25">
      <c r="A45" s="724">
        <v>22</v>
      </c>
      <c r="B45" s="728" t="str">
        <f t="shared" si="28"/>
        <v xml:space="preserve"> </v>
      </c>
      <c r="C45" s="913">
        <f t="shared" si="16"/>
        <v>0</v>
      </c>
      <c r="D45" s="913">
        <f t="shared" si="17"/>
        <v>0</v>
      </c>
      <c r="E45" s="914">
        <f t="shared" si="24"/>
        <v>0</v>
      </c>
      <c r="F45" s="914">
        <f t="shared" si="21"/>
        <v>0</v>
      </c>
      <c r="G45" s="914" t="str">
        <f t="shared" si="25"/>
        <v xml:space="preserve"> </v>
      </c>
      <c r="H45" s="914">
        <f t="shared" si="18"/>
        <v>0</v>
      </c>
      <c r="I45" s="914" t="str">
        <f t="shared" si="19"/>
        <v xml:space="preserve"> </v>
      </c>
      <c r="J45" s="914">
        <f t="shared" si="26"/>
        <v>0</v>
      </c>
      <c r="K45" s="1052" t="e">
        <f t="shared" si="27"/>
        <v>#DIV/0!</v>
      </c>
      <c r="L45" s="739">
        <f t="shared" si="22"/>
        <v>0</v>
      </c>
      <c r="N45" s="614"/>
      <c r="O45" s="252" t="e">
        <f t="shared" si="23"/>
        <v>#VALUE!</v>
      </c>
    </row>
    <row r="46" spans="1:15" x14ac:dyDescent="0.25">
      <c r="A46" s="724">
        <v>23</v>
      </c>
      <c r="B46" s="728" t="str">
        <f t="shared" si="28"/>
        <v xml:space="preserve"> </v>
      </c>
      <c r="C46" s="913">
        <f t="shared" si="16"/>
        <v>0</v>
      </c>
      <c r="D46" s="913">
        <f t="shared" si="17"/>
        <v>0</v>
      </c>
      <c r="E46" s="914">
        <f t="shared" si="24"/>
        <v>0</v>
      </c>
      <c r="F46" s="914">
        <f t="shared" si="21"/>
        <v>0</v>
      </c>
      <c r="G46" s="914" t="str">
        <f t="shared" si="25"/>
        <v xml:space="preserve"> </v>
      </c>
      <c r="H46" s="914">
        <f t="shared" si="18"/>
        <v>0</v>
      </c>
      <c r="I46" s="914" t="str">
        <f t="shared" si="19"/>
        <v xml:space="preserve"> </v>
      </c>
      <c r="J46" s="914">
        <f t="shared" si="26"/>
        <v>0</v>
      </c>
      <c r="K46" s="1052" t="e">
        <f t="shared" si="27"/>
        <v>#DIV/0!</v>
      </c>
      <c r="L46" s="739">
        <f t="shared" si="22"/>
        <v>0</v>
      </c>
      <c r="N46" s="614"/>
      <c r="O46" s="252" t="e">
        <f t="shared" si="23"/>
        <v>#VALUE!</v>
      </c>
    </row>
    <row r="47" spans="1:15" x14ac:dyDescent="0.25">
      <c r="A47" s="724">
        <v>24</v>
      </c>
      <c r="B47" s="728" t="str">
        <f t="shared" si="28"/>
        <v xml:space="preserve"> </v>
      </c>
      <c r="C47" s="913">
        <f t="shared" si="16"/>
        <v>0</v>
      </c>
      <c r="D47" s="913">
        <f t="shared" si="17"/>
        <v>0</v>
      </c>
      <c r="E47" s="914">
        <f t="shared" si="24"/>
        <v>0</v>
      </c>
      <c r="F47" s="914">
        <f t="shared" si="21"/>
        <v>0</v>
      </c>
      <c r="G47" s="914" t="str">
        <f t="shared" si="25"/>
        <v xml:space="preserve"> </v>
      </c>
      <c r="H47" s="914">
        <f t="shared" si="18"/>
        <v>0</v>
      </c>
      <c r="I47" s="914" t="str">
        <f t="shared" si="19"/>
        <v xml:space="preserve"> </v>
      </c>
      <c r="J47" s="914">
        <f t="shared" si="26"/>
        <v>0</v>
      </c>
      <c r="K47" s="1052" t="e">
        <f t="shared" si="27"/>
        <v>#DIV/0!</v>
      </c>
      <c r="L47" s="739">
        <f t="shared" si="22"/>
        <v>0</v>
      </c>
      <c r="N47" s="614"/>
      <c r="O47" s="252" t="e">
        <f t="shared" si="23"/>
        <v>#VALUE!</v>
      </c>
    </row>
    <row r="48" spans="1:15" x14ac:dyDescent="0.25">
      <c r="A48" s="724">
        <v>25</v>
      </c>
      <c r="B48" s="728" t="str">
        <f t="shared" si="28"/>
        <v xml:space="preserve"> </v>
      </c>
      <c r="C48" s="913">
        <f t="shared" si="16"/>
        <v>0</v>
      </c>
      <c r="D48" s="913">
        <f t="shared" si="17"/>
        <v>0</v>
      </c>
      <c r="E48" s="914">
        <f t="shared" si="24"/>
        <v>0</v>
      </c>
      <c r="F48" s="914">
        <f t="shared" si="21"/>
        <v>0</v>
      </c>
      <c r="G48" s="914" t="str">
        <f t="shared" si="25"/>
        <v xml:space="preserve"> </v>
      </c>
      <c r="H48" s="914">
        <f t="shared" si="18"/>
        <v>0</v>
      </c>
      <c r="I48" s="914" t="str">
        <f t="shared" si="19"/>
        <v xml:space="preserve"> </v>
      </c>
      <c r="J48" s="914">
        <f t="shared" si="26"/>
        <v>0</v>
      </c>
      <c r="K48" s="1052" t="e">
        <f t="shared" si="27"/>
        <v>#DIV/0!</v>
      </c>
      <c r="L48" s="739">
        <f t="shared" si="22"/>
        <v>0</v>
      </c>
      <c r="N48" s="614"/>
      <c r="O48" s="252" t="e">
        <f t="shared" si="23"/>
        <v>#VALUE!</v>
      </c>
    </row>
    <row r="49" spans="1:15" x14ac:dyDescent="0.25">
      <c r="A49" s="724">
        <v>26</v>
      </c>
      <c r="B49" s="728" t="str">
        <f t="shared" si="28"/>
        <v xml:space="preserve"> </v>
      </c>
      <c r="C49" s="913">
        <f t="shared" si="16"/>
        <v>0</v>
      </c>
      <c r="D49" s="913">
        <f t="shared" si="17"/>
        <v>0</v>
      </c>
      <c r="E49" s="914">
        <f t="shared" si="24"/>
        <v>0</v>
      </c>
      <c r="F49" s="914">
        <f t="shared" si="21"/>
        <v>0</v>
      </c>
      <c r="G49" s="914" t="str">
        <f t="shared" si="25"/>
        <v xml:space="preserve"> </v>
      </c>
      <c r="H49" s="914">
        <f t="shared" si="18"/>
        <v>0</v>
      </c>
      <c r="I49" s="914" t="str">
        <f t="shared" si="19"/>
        <v xml:space="preserve"> </v>
      </c>
      <c r="J49" s="914">
        <f t="shared" si="26"/>
        <v>0</v>
      </c>
      <c r="K49" s="1052" t="e">
        <f t="shared" si="27"/>
        <v>#DIV/0!</v>
      </c>
      <c r="L49" s="739">
        <f t="shared" si="22"/>
        <v>0</v>
      </c>
      <c r="N49" s="614"/>
      <c r="O49" s="252" t="e">
        <f t="shared" si="23"/>
        <v>#VALUE!</v>
      </c>
    </row>
    <row r="50" spans="1:15" x14ac:dyDescent="0.25">
      <c r="A50" s="724">
        <v>27</v>
      </c>
      <c r="B50" s="728" t="str">
        <f t="shared" si="28"/>
        <v xml:space="preserve"> </v>
      </c>
      <c r="C50" s="913">
        <f t="shared" si="16"/>
        <v>0</v>
      </c>
      <c r="D50" s="913">
        <f t="shared" si="17"/>
        <v>0</v>
      </c>
      <c r="E50" s="914">
        <f t="shared" si="24"/>
        <v>0</v>
      </c>
      <c r="F50" s="914">
        <f t="shared" si="21"/>
        <v>0</v>
      </c>
      <c r="G50" s="914" t="str">
        <f t="shared" si="25"/>
        <v xml:space="preserve"> </v>
      </c>
      <c r="H50" s="914">
        <f t="shared" si="18"/>
        <v>0</v>
      </c>
      <c r="I50" s="914" t="str">
        <f t="shared" si="19"/>
        <v xml:space="preserve"> </v>
      </c>
      <c r="J50" s="914">
        <f t="shared" si="26"/>
        <v>0</v>
      </c>
      <c r="K50" s="1052" t="e">
        <f t="shared" si="27"/>
        <v>#DIV/0!</v>
      </c>
      <c r="L50" s="739">
        <f t="shared" si="22"/>
        <v>0</v>
      </c>
      <c r="N50" s="614"/>
      <c r="O50" s="252" t="e">
        <f t="shared" si="23"/>
        <v>#VALUE!</v>
      </c>
    </row>
    <row r="51" spans="1:15" x14ac:dyDescent="0.25">
      <c r="A51" s="724">
        <v>28</v>
      </c>
      <c r="B51" s="728" t="str">
        <f t="shared" si="28"/>
        <v xml:space="preserve"> </v>
      </c>
      <c r="C51" s="913">
        <f t="shared" si="16"/>
        <v>0</v>
      </c>
      <c r="D51" s="913">
        <f t="shared" si="17"/>
        <v>0</v>
      </c>
      <c r="E51" s="914">
        <f t="shared" si="24"/>
        <v>0</v>
      </c>
      <c r="F51" s="914">
        <f t="shared" si="21"/>
        <v>0</v>
      </c>
      <c r="G51" s="914" t="str">
        <f t="shared" si="25"/>
        <v xml:space="preserve"> </v>
      </c>
      <c r="H51" s="914">
        <f t="shared" si="18"/>
        <v>0</v>
      </c>
      <c r="I51" s="914" t="str">
        <f t="shared" si="19"/>
        <v xml:space="preserve"> </v>
      </c>
      <c r="J51" s="914">
        <f t="shared" si="26"/>
        <v>0</v>
      </c>
      <c r="K51" s="1052" t="e">
        <f t="shared" si="27"/>
        <v>#DIV/0!</v>
      </c>
      <c r="L51" s="739">
        <f t="shared" si="22"/>
        <v>0</v>
      </c>
      <c r="N51" s="614"/>
      <c r="O51" s="252" t="e">
        <f t="shared" si="23"/>
        <v>#VALUE!</v>
      </c>
    </row>
    <row r="52" spans="1:15" x14ac:dyDescent="0.25">
      <c r="A52" s="724">
        <v>29</v>
      </c>
      <c r="B52" s="728" t="str">
        <f t="shared" si="28"/>
        <v xml:space="preserve"> </v>
      </c>
      <c r="C52" s="913">
        <f t="shared" si="16"/>
        <v>0</v>
      </c>
      <c r="D52" s="913">
        <f t="shared" si="17"/>
        <v>0</v>
      </c>
      <c r="E52" s="914">
        <f t="shared" si="24"/>
        <v>0</v>
      </c>
      <c r="F52" s="914">
        <f t="shared" si="21"/>
        <v>0</v>
      </c>
      <c r="G52" s="914" t="str">
        <f t="shared" si="25"/>
        <v xml:space="preserve"> </v>
      </c>
      <c r="H52" s="914">
        <f t="shared" si="18"/>
        <v>0</v>
      </c>
      <c r="I52" s="914" t="str">
        <f t="shared" si="19"/>
        <v xml:space="preserve"> </v>
      </c>
      <c r="J52" s="914">
        <f t="shared" si="26"/>
        <v>0</v>
      </c>
      <c r="K52" s="1052" t="e">
        <f t="shared" si="27"/>
        <v>#DIV/0!</v>
      </c>
      <c r="L52" s="739">
        <f t="shared" si="22"/>
        <v>0</v>
      </c>
      <c r="N52" s="614"/>
      <c r="O52" s="252" t="e">
        <f t="shared" si="23"/>
        <v>#VALUE!</v>
      </c>
    </row>
    <row r="53" spans="1:15" ht="15.75" thickBot="1" x14ac:dyDescent="0.3">
      <c r="A53" s="754">
        <v>30</v>
      </c>
      <c r="B53" s="805" t="str">
        <f t="shared" si="28"/>
        <v xml:space="preserve"> </v>
      </c>
      <c r="C53" s="915">
        <f t="shared" si="16"/>
        <v>0</v>
      </c>
      <c r="D53" s="915">
        <f t="shared" si="17"/>
        <v>0</v>
      </c>
      <c r="E53" s="916">
        <f t="shared" si="24"/>
        <v>0</v>
      </c>
      <c r="F53" s="916">
        <f t="shared" si="21"/>
        <v>0</v>
      </c>
      <c r="G53" s="916" t="str">
        <f t="shared" si="25"/>
        <v xml:space="preserve"> </v>
      </c>
      <c r="H53" s="916">
        <f>B54</f>
        <v>0</v>
      </c>
      <c r="I53" s="916" t="str">
        <f t="shared" si="19"/>
        <v xml:space="preserve"> </v>
      </c>
      <c r="J53" s="916">
        <f t="shared" si="26"/>
        <v>0</v>
      </c>
      <c r="K53" s="1053" t="e">
        <f t="shared" si="27"/>
        <v>#DIV/0!</v>
      </c>
      <c r="L53" s="1061">
        <f t="shared" si="22"/>
        <v>0</v>
      </c>
      <c r="N53" s="614"/>
      <c r="O53" s="252" t="e">
        <f t="shared" si="23"/>
        <v>#VALUE!</v>
      </c>
    </row>
  </sheetData>
  <sheetProtection sheet="1" objects="1" scenarios="1" selectLockedCells="1"/>
  <mergeCells count="7">
    <mergeCell ref="B16:L16"/>
    <mergeCell ref="H22:L22"/>
    <mergeCell ref="F2:H2"/>
    <mergeCell ref="A1:M1"/>
    <mergeCell ref="B2:C2"/>
    <mergeCell ref="A15:K15"/>
    <mergeCell ref="I2:N2"/>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714DD-F38F-45DE-B102-E9729C28A934}">
  <sheetPr>
    <tabColor theme="6" tint="0.39997558519241921"/>
  </sheetPr>
  <dimension ref="A1:N42"/>
  <sheetViews>
    <sheetView showGridLines="0" topLeftCell="A6" workbookViewId="0">
      <selection activeCell="D29" sqref="D29"/>
    </sheetView>
  </sheetViews>
  <sheetFormatPr defaultRowHeight="15" x14ac:dyDescent="0.25"/>
  <cols>
    <col min="1" max="1" width="30.140625" style="87" customWidth="1"/>
    <col min="2" max="2" width="12.42578125" style="87" customWidth="1"/>
    <col min="3" max="3" width="11.85546875" style="87" customWidth="1"/>
    <col min="4" max="4" width="11.42578125" style="87" customWidth="1"/>
    <col min="5" max="5" width="12.42578125" style="87" customWidth="1"/>
    <col min="6" max="6" width="2.7109375" style="480" customWidth="1"/>
    <col min="7" max="7" width="29.5703125" style="87" customWidth="1"/>
    <col min="8" max="9" width="12.42578125" style="87" customWidth="1"/>
    <col min="10" max="11" width="12.42578125" customWidth="1"/>
    <col min="13" max="13" width="13.7109375" customWidth="1"/>
    <col min="14" max="14" width="9.28515625" bestFit="1" customWidth="1"/>
  </cols>
  <sheetData>
    <row r="1" spans="1:13" s="195" customFormat="1" ht="24" thickBot="1" x14ac:dyDescent="0.4">
      <c r="A1" s="1852">
        <f>'Input Sheet'!C4</f>
        <v>0</v>
      </c>
      <c r="B1" s="1852"/>
      <c r="C1" s="1852"/>
      <c r="D1" s="1852"/>
      <c r="E1" s="1852"/>
      <c r="F1" s="1852"/>
      <c r="G1" s="1852"/>
      <c r="H1" s="1852"/>
      <c r="I1" s="1852"/>
      <c r="J1" s="1852"/>
      <c r="K1" s="1852"/>
    </row>
    <row r="2" spans="1:13" ht="19.5" thickBot="1" x14ac:dyDescent="0.35">
      <c r="A2" s="1858" t="s">
        <v>178</v>
      </c>
      <c r="B2" s="1859"/>
      <c r="C2" s="1859"/>
      <c r="D2" s="206">
        <f>'Input Sheet'!C9</f>
        <v>0</v>
      </c>
      <c r="E2" s="196"/>
      <c r="F2" s="237">
        <v>2</v>
      </c>
      <c r="G2" s="1858" t="s">
        <v>179</v>
      </c>
      <c r="H2" s="1859"/>
      <c r="I2" s="196">
        <f>'Input Sheet'!C9</f>
        <v>0</v>
      </c>
      <c r="J2" s="198" t="s">
        <v>184</v>
      </c>
      <c r="K2" s="197">
        <f>I2-1</f>
        <v>-1</v>
      </c>
    </row>
    <row r="3" spans="1:13" s="87" customFormat="1" x14ac:dyDescent="0.25">
      <c r="A3" s="88" t="s">
        <v>83</v>
      </c>
      <c r="B3" s="100">
        <v>0.3</v>
      </c>
      <c r="C3" s="64"/>
      <c r="D3" s="64"/>
      <c r="E3" s="89"/>
      <c r="F3" s="237">
        <v>3</v>
      </c>
      <c r="G3" s="88" t="s">
        <v>83</v>
      </c>
      <c r="H3" s="100">
        <v>0.3</v>
      </c>
      <c r="I3" s="64"/>
      <c r="J3" s="64"/>
      <c r="K3" s="89"/>
    </row>
    <row r="4" spans="1:13" s="87" customFormat="1" x14ac:dyDescent="0.25">
      <c r="A4" s="59" t="s">
        <v>84</v>
      </c>
      <c r="B4" s="101">
        <v>0.15</v>
      </c>
      <c r="C4" s="10"/>
      <c r="D4" s="10"/>
      <c r="E4" s="43"/>
      <c r="F4" s="237">
        <v>4</v>
      </c>
      <c r="G4" s="59" t="s">
        <v>84</v>
      </c>
      <c r="H4" s="101">
        <v>0.15</v>
      </c>
      <c r="I4" s="10"/>
      <c r="J4" s="10"/>
      <c r="K4" s="43"/>
    </row>
    <row r="5" spans="1:13" s="87" customFormat="1" x14ac:dyDescent="0.25">
      <c r="A5" s="90"/>
      <c r="B5" s="10"/>
      <c r="C5" s="10"/>
      <c r="D5" s="10"/>
      <c r="E5" s="43"/>
      <c r="F5" s="237">
        <v>5</v>
      </c>
      <c r="G5" s="90"/>
      <c r="H5" s="10"/>
      <c r="I5" s="10"/>
      <c r="J5" s="10"/>
      <c r="K5" s="43"/>
    </row>
    <row r="6" spans="1:13" ht="18.75" x14ac:dyDescent="0.3">
      <c r="A6" s="1853" t="s">
        <v>180</v>
      </c>
      <c r="B6" s="1854"/>
      <c r="C6" s="1854"/>
      <c r="D6" s="1854"/>
      <c r="E6" s="1855"/>
      <c r="F6" s="237">
        <v>6</v>
      </c>
      <c r="G6" s="1853" t="s">
        <v>180</v>
      </c>
      <c r="H6" s="1854"/>
      <c r="I6" s="1854"/>
      <c r="J6" s="1854"/>
      <c r="K6" s="1855"/>
    </row>
    <row r="7" spans="1:13" ht="45" x14ac:dyDescent="0.25">
      <c r="A7" s="90"/>
      <c r="B7" s="84" t="s">
        <v>93</v>
      </c>
      <c r="C7" s="84" t="s">
        <v>94</v>
      </c>
      <c r="D7" s="63" t="s">
        <v>53</v>
      </c>
      <c r="E7" s="91" t="s">
        <v>92</v>
      </c>
      <c r="F7" s="237">
        <v>7</v>
      </c>
      <c r="G7" s="90"/>
      <c r="H7" s="84" t="s">
        <v>93</v>
      </c>
      <c r="I7" s="84" t="s">
        <v>94</v>
      </c>
      <c r="J7" s="63" t="s">
        <v>53</v>
      </c>
      <c r="K7" s="91" t="s">
        <v>92</v>
      </c>
    </row>
    <row r="8" spans="1:13" x14ac:dyDescent="0.25">
      <c r="A8" s="90" t="s">
        <v>80</v>
      </c>
      <c r="B8" s="15">
        <f>SUM('Balance Sheets'!G11:'Balance Sheets'!G14)</f>
        <v>0</v>
      </c>
      <c r="C8" s="15">
        <f>'Balance Sheets'!G36+'Balance Sheets'!G45+'Balance Sheets'!G46+SUM('Balance Sheets'!G40:'Balance Sheets'!G43)</f>
        <v>0</v>
      </c>
      <c r="D8" s="15">
        <f>B8-C8</f>
        <v>0</v>
      </c>
      <c r="E8" s="35">
        <f>D8*$B$3</f>
        <v>0</v>
      </c>
      <c r="F8" s="237">
        <v>8</v>
      </c>
      <c r="G8" s="90" t="s">
        <v>80</v>
      </c>
      <c r="H8" s="15">
        <f>SUM('Balance Sheets'!I11:'Balance Sheets'!I14)</f>
        <v>0</v>
      </c>
      <c r="I8" s="15">
        <f>'Balance Sheets'!I36+'Balance Sheets'!I45+'Balance Sheets'!I46+SUM('Balance Sheets'!I40:'Balance Sheets'!I43)</f>
        <v>0</v>
      </c>
      <c r="J8" s="15">
        <f>H8-I8</f>
        <v>0</v>
      </c>
      <c r="K8" s="35">
        <f>J8*$B$3</f>
        <v>0</v>
      </c>
    </row>
    <row r="9" spans="1:13" x14ac:dyDescent="0.25">
      <c r="A9" s="90" t="s">
        <v>79</v>
      </c>
      <c r="B9" s="15">
        <f>'Balance Sheets'!G10</f>
        <v>0</v>
      </c>
      <c r="C9" s="10">
        <f>'Balance Sheets'!F10</f>
        <v>0</v>
      </c>
      <c r="D9" s="15">
        <f>B9-C9</f>
        <v>0</v>
      </c>
      <c r="E9" s="35">
        <f>D9*$B$4</f>
        <v>0</v>
      </c>
      <c r="F9" s="237">
        <v>9</v>
      </c>
      <c r="G9" s="90" t="s">
        <v>79</v>
      </c>
      <c r="H9" s="15">
        <f>'Balance Sheets'!I10</f>
        <v>0</v>
      </c>
      <c r="I9" s="510">
        <f>'Balance Sheets'!H10</f>
        <v>0</v>
      </c>
      <c r="J9" s="15">
        <f>H9-I9</f>
        <v>0</v>
      </c>
      <c r="K9" s="35">
        <f>J9*$B$4</f>
        <v>0</v>
      </c>
    </row>
    <row r="10" spans="1:13" x14ac:dyDescent="0.25">
      <c r="A10" s="90" t="s">
        <v>95</v>
      </c>
      <c r="B10" s="10"/>
      <c r="C10" s="10"/>
      <c r="D10" s="10"/>
      <c r="E10" s="43"/>
      <c r="F10" s="237">
        <v>10</v>
      </c>
      <c r="G10" s="90" t="s">
        <v>95</v>
      </c>
      <c r="H10" s="10"/>
      <c r="I10" s="10"/>
      <c r="J10" s="10"/>
      <c r="K10" s="43"/>
    </row>
    <row r="11" spans="1:13" x14ac:dyDescent="0.25">
      <c r="A11" s="95" t="s">
        <v>11</v>
      </c>
      <c r="B11" s="96"/>
      <c r="C11" s="96"/>
      <c r="D11" s="199">
        <f>SUM(D8:D10)</f>
        <v>0</v>
      </c>
      <c r="E11" s="97">
        <f>SUM(E8:E10)</f>
        <v>0</v>
      </c>
      <c r="F11" s="237">
        <v>11</v>
      </c>
      <c r="G11" s="95" t="s">
        <v>11</v>
      </c>
      <c r="H11" s="96"/>
      <c r="I11" s="96"/>
      <c r="J11" s="199">
        <f>SUM(J8:J10)</f>
        <v>0</v>
      </c>
      <c r="K11" s="97">
        <f>SUM(K8:K10)</f>
        <v>0</v>
      </c>
      <c r="M11" s="11"/>
    </row>
    <row r="12" spans="1:13" ht="18.75" x14ac:dyDescent="0.3">
      <c r="A12" s="1853" t="s">
        <v>181</v>
      </c>
      <c r="B12" s="1854"/>
      <c r="C12" s="1854"/>
      <c r="D12" s="1854"/>
      <c r="E12" s="1855"/>
      <c r="F12" s="237">
        <v>12</v>
      </c>
      <c r="G12" s="1853" t="s">
        <v>181</v>
      </c>
      <c r="H12" s="1854"/>
      <c r="I12" s="1854"/>
      <c r="J12" s="1854"/>
      <c r="K12" s="1855"/>
    </row>
    <row r="13" spans="1:13" x14ac:dyDescent="0.25">
      <c r="A13" s="90"/>
      <c r="B13" s="63" t="s">
        <v>81</v>
      </c>
      <c r="C13" s="63" t="s">
        <v>57</v>
      </c>
      <c r="D13" s="63" t="s">
        <v>53</v>
      </c>
      <c r="E13" s="91" t="s">
        <v>92</v>
      </c>
      <c r="F13" s="237">
        <v>13</v>
      </c>
      <c r="G13" s="90"/>
      <c r="H13" s="63" t="s">
        <v>81</v>
      </c>
      <c r="I13" s="63" t="s">
        <v>57</v>
      </c>
      <c r="J13" s="63" t="s">
        <v>53</v>
      </c>
      <c r="K13" s="91" t="s">
        <v>92</v>
      </c>
    </row>
    <row r="14" spans="1:13" x14ac:dyDescent="0.25">
      <c r="A14" s="90" t="s">
        <v>85</v>
      </c>
      <c r="B14" s="5">
        <f>'Balance Sheets'!F17</f>
        <v>0</v>
      </c>
      <c r="C14" s="7">
        <v>0</v>
      </c>
      <c r="D14" s="15">
        <f>B14-C14</f>
        <v>0</v>
      </c>
      <c r="E14" s="35">
        <f>D14*$B$3</f>
        <v>0</v>
      </c>
      <c r="F14" s="237">
        <v>14</v>
      </c>
      <c r="G14" s="90" t="s">
        <v>85</v>
      </c>
      <c r="H14" s="5">
        <f>'Balance Sheets'!H17</f>
        <v>0</v>
      </c>
      <c r="I14" s="7">
        <v>0</v>
      </c>
      <c r="J14" s="15">
        <f>H14-I14</f>
        <v>0</v>
      </c>
      <c r="K14" s="35">
        <f>J14*$B$3</f>
        <v>0</v>
      </c>
    </row>
    <row r="15" spans="1:13" s="87" customFormat="1" x14ac:dyDescent="0.25">
      <c r="A15" s="92" t="s">
        <v>112</v>
      </c>
      <c r="B15" s="16">
        <f>'Balance Sheets'!F20+'Balance Sheets'!F29</f>
        <v>0</v>
      </c>
      <c r="C15" s="7">
        <v>0</v>
      </c>
      <c r="D15" s="15">
        <f t="shared" ref="D15:D22" si="0">B15-C15</f>
        <v>0</v>
      </c>
      <c r="E15" s="35">
        <f t="shared" ref="E15:E22" si="1">D15*$B$3</f>
        <v>0</v>
      </c>
      <c r="F15" s="237">
        <v>15</v>
      </c>
      <c r="G15" s="92" t="s">
        <v>112</v>
      </c>
      <c r="H15" s="16">
        <f>'Balance Sheets'!H20+'Balance Sheets'!H29</f>
        <v>0</v>
      </c>
      <c r="I15" s="7">
        <v>0</v>
      </c>
      <c r="J15" s="15">
        <f t="shared" ref="J15:J22" si="2">H15-I15</f>
        <v>0</v>
      </c>
      <c r="K15" s="35">
        <f t="shared" ref="K15:K22" si="3">J15*$B$3</f>
        <v>0</v>
      </c>
    </row>
    <row r="16" spans="1:13" x14ac:dyDescent="0.25">
      <c r="A16" s="90" t="s">
        <v>86</v>
      </c>
      <c r="B16" s="123"/>
      <c r="C16" s="123"/>
      <c r="D16" s="15">
        <f t="shared" si="0"/>
        <v>0</v>
      </c>
      <c r="E16" s="35">
        <f t="shared" si="1"/>
        <v>0</v>
      </c>
      <c r="F16" s="237">
        <v>16</v>
      </c>
      <c r="G16" s="90" t="s">
        <v>86</v>
      </c>
      <c r="H16" s="123"/>
      <c r="I16" s="123"/>
      <c r="J16" s="15">
        <f t="shared" si="2"/>
        <v>0</v>
      </c>
      <c r="K16" s="35">
        <f t="shared" si="3"/>
        <v>0</v>
      </c>
    </row>
    <row r="17" spans="1:14" x14ac:dyDescent="0.25">
      <c r="A17" s="90" t="s">
        <v>87</v>
      </c>
      <c r="B17" s="123"/>
      <c r="C17" s="123"/>
      <c r="D17" s="15">
        <f t="shared" si="0"/>
        <v>0</v>
      </c>
      <c r="E17" s="35">
        <f t="shared" si="1"/>
        <v>0</v>
      </c>
      <c r="F17" s="237">
        <v>17</v>
      </c>
      <c r="G17" s="90" t="s">
        <v>87</v>
      </c>
      <c r="H17" s="123"/>
      <c r="I17" s="123"/>
      <c r="J17" s="15">
        <f t="shared" si="2"/>
        <v>0</v>
      </c>
      <c r="K17" s="35">
        <f t="shared" si="3"/>
        <v>0</v>
      </c>
    </row>
    <row r="18" spans="1:14" x14ac:dyDescent="0.25">
      <c r="A18" s="90" t="s">
        <v>88</v>
      </c>
      <c r="B18" s="123"/>
      <c r="C18" s="123"/>
      <c r="D18" s="15">
        <f t="shared" si="0"/>
        <v>0</v>
      </c>
      <c r="E18" s="35">
        <f t="shared" si="1"/>
        <v>0</v>
      </c>
      <c r="F18" s="237">
        <v>18</v>
      </c>
      <c r="G18" s="90" t="s">
        <v>88</v>
      </c>
      <c r="H18" s="123"/>
      <c r="I18" s="123"/>
      <c r="J18" s="15">
        <f t="shared" si="2"/>
        <v>0</v>
      </c>
      <c r="K18" s="35">
        <f t="shared" si="3"/>
        <v>0</v>
      </c>
    </row>
    <row r="19" spans="1:14" x14ac:dyDescent="0.25">
      <c r="A19" s="92" t="s">
        <v>89</v>
      </c>
      <c r="B19" s="123"/>
      <c r="C19" s="123"/>
      <c r="D19" s="15">
        <f t="shared" si="0"/>
        <v>0</v>
      </c>
      <c r="E19" s="35">
        <f t="shared" si="1"/>
        <v>0</v>
      </c>
      <c r="F19" s="237">
        <v>19</v>
      </c>
      <c r="G19" s="92" t="s">
        <v>89</v>
      </c>
      <c r="H19" s="123"/>
      <c r="I19" s="123"/>
      <c r="J19" s="15">
        <f t="shared" si="2"/>
        <v>0</v>
      </c>
      <c r="K19" s="35">
        <f t="shared" si="3"/>
        <v>0</v>
      </c>
    </row>
    <row r="20" spans="1:14" x14ac:dyDescent="0.25">
      <c r="A20" s="92" t="s">
        <v>90</v>
      </c>
      <c r="B20" s="123"/>
      <c r="C20" s="123"/>
      <c r="D20" s="15">
        <f t="shared" si="0"/>
        <v>0</v>
      </c>
      <c r="E20" s="35">
        <f t="shared" si="1"/>
        <v>0</v>
      </c>
      <c r="F20" s="237">
        <v>20</v>
      </c>
      <c r="G20" s="92" t="s">
        <v>90</v>
      </c>
      <c r="H20" s="123"/>
      <c r="I20" s="123"/>
      <c r="J20" s="15">
        <f t="shared" si="2"/>
        <v>0</v>
      </c>
      <c r="K20" s="35">
        <f t="shared" si="3"/>
        <v>0</v>
      </c>
    </row>
    <row r="21" spans="1:14" x14ac:dyDescent="0.25">
      <c r="A21" s="92" t="s">
        <v>111</v>
      </c>
      <c r="B21" s="140"/>
      <c r="C21" s="123"/>
      <c r="D21" s="15">
        <f t="shared" si="0"/>
        <v>0</v>
      </c>
      <c r="E21" s="35">
        <f t="shared" si="1"/>
        <v>0</v>
      </c>
      <c r="F21" s="237">
        <v>21</v>
      </c>
      <c r="G21" s="92" t="s">
        <v>111</v>
      </c>
      <c r="H21" s="140"/>
      <c r="I21" s="123"/>
      <c r="J21" s="15">
        <f t="shared" si="2"/>
        <v>0</v>
      </c>
      <c r="K21" s="35">
        <f t="shared" si="3"/>
        <v>0</v>
      </c>
    </row>
    <row r="22" spans="1:14" x14ac:dyDescent="0.25">
      <c r="A22" s="93" t="s">
        <v>91</v>
      </c>
      <c r="B22" s="140"/>
      <c r="C22" s="123"/>
      <c r="D22" s="15">
        <f t="shared" si="0"/>
        <v>0</v>
      </c>
      <c r="E22" s="35">
        <f t="shared" si="1"/>
        <v>0</v>
      </c>
      <c r="F22" s="237">
        <v>22</v>
      </c>
      <c r="G22" s="93" t="s">
        <v>91</v>
      </c>
      <c r="H22" s="140"/>
      <c r="I22" s="123"/>
      <c r="J22" s="15">
        <f t="shared" si="2"/>
        <v>0</v>
      </c>
      <c r="K22" s="35">
        <f t="shared" si="3"/>
        <v>0</v>
      </c>
    </row>
    <row r="23" spans="1:14" x14ac:dyDescent="0.25">
      <c r="A23" s="95" t="s">
        <v>11</v>
      </c>
      <c r="B23" s="96"/>
      <c r="C23" s="96"/>
      <c r="D23" s="199">
        <f>SUM(D14:D22)</f>
        <v>0</v>
      </c>
      <c r="E23" s="98">
        <f>SUM(E14:E22)</f>
        <v>0</v>
      </c>
      <c r="F23" s="237">
        <v>23</v>
      </c>
      <c r="G23" s="95" t="s">
        <v>11</v>
      </c>
      <c r="H23" s="96"/>
      <c r="I23" s="96"/>
      <c r="J23" s="199">
        <f>SUM(J14:J22)</f>
        <v>0</v>
      </c>
      <c r="K23" s="98">
        <f>SUM(K14:K22)</f>
        <v>0</v>
      </c>
      <c r="M23" s="11"/>
      <c r="N23" s="11"/>
    </row>
    <row r="24" spans="1:14" x14ac:dyDescent="0.25">
      <c r="A24" s="90"/>
      <c r="B24" s="10"/>
      <c r="C24" s="10"/>
      <c r="D24" s="10"/>
      <c r="E24" s="94"/>
      <c r="F24" s="237">
        <v>24</v>
      </c>
      <c r="G24" s="90"/>
      <c r="H24" s="10"/>
      <c r="I24" s="10"/>
      <c r="J24" s="10"/>
      <c r="K24" s="94"/>
      <c r="M24" s="11"/>
      <c r="N24" s="11"/>
    </row>
    <row r="25" spans="1:14" ht="18.75" x14ac:dyDescent="0.3">
      <c r="A25" s="1853" t="s">
        <v>182</v>
      </c>
      <c r="B25" s="1854"/>
      <c r="C25" s="1854"/>
      <c r="D25" s="1854"/>
      <c r="E25" s="1855"/>
      <c r="F25" s="237">
        <v>25</v>
      </c>
      <c r="G25" s="1853" t="s">
        <v>182</v>
      </c>
      <c r="H25" s="1854"/>
      <c r="I25" s="1854"/>
      <c r="J25" s="1854"/>
      <c r="K25" s="1855"/>
      <c r="M25" s="11"/>
      <c r="N25" s="11"/>
    </row>
    <row r="26" spans="1:14" x14ac:dyDescent="0.25">
      <c r="A26" s="90"/>
      <c r="B26" s="63" t="s">
        <v>82</v>
      </c>
      <c r="C26" s="63" t="s">
        <v>81</v>
      </c>
      <c r="D26" s="63" t="s">
        <v>53</v>
      </c>
      <c r="E26" s="91" t="s">
        <v>92</v>
      </c>
      <c r="F26" s="237">
        <v>26</v>
      </c>
      <c r="G26" s="90"/>
      <c r="H26" s="63" t="s">
        <v>82</v>
      </c>
      <c r="I26" s="63" t="s">
        <v>81</v>
      </c>
      <c r="J26" s="63" t="s">
        <v>53</v>
      </c>
      <c r="K26" s="91" t="s">
        <v>92</v>
      </c>
      <c r="M26" s="11"/>
      <c r="N26" s="11"/>
    </row>
    <row r="27" spans="1:14" x14ac:dyDescent="0.25">
      <c r="A27" s="90" t="s">
        <v>85</v>
      </c>
      <c r="B27" s="15">
        <f>'Balance Sheets'!G17</f>
        <v>0</v>
      </c>
      <c r="C27" s="15">
        <f>'Balance Sheets'!F17</f>
        <v>0</v>
      </c>
      <c r="D27" s="15">
        <f t="shared" ref="D27" si="4">B27-C27</f>
        <v>0</v>
      </c>
      <c r="E27" s="35">
        <f>D27*$B$4</f>
        <v>0</v>
      </c>
      <c r="F27" s="237">
        <v>27</v>
      </c>
      <c r="G27" s="90" t="s">
        <v>85</v>
      </c>
      <c r="H27" s="15">
        <f>'Balance Sheets'!I17</f>
        <v>0</v>
      </c>
      <c r="I27" s="15">
        <f>'Balance Sheets'!H17</f>
        <v>0</v>
      </c>
      <c r="J27" s="15">
        <f t="shared" ref="J27" si="5">H27-I27</f>
        <v>0</v>
      </c>
      <c r="K27" s="35">
        <f>J27*$H$4</f>
        <v>0</v>
      </c>
      <c r="M27" s="11"/>
      <c r="N27" s="11"/>
    </row>
    <row r="28" spans="1:14" x14ac:dyDescent="0.25">
      <c r="A28" s="90" t="s">
        <v>86</v>
      </c>
      <c r="B28" s="15">
        <f>'Balance Sheets'!G18</f>
        <v>0</v>
      </c>
      <c r="C28" s="15">
        <f>'Balance Sheets'!F18</f>
        <v>0</v>
      </c>
      <c r="D28" s="15">
        <f t="shared" ref="D28:D34" si="6">B28-C28</f>
        <v>0</v>
      </c>
      <c r="E28" s="35">
        <f t="shared" ref="E28:E34" si="7">D28*$B$4</f>
        <v>0</v>
      </c>
      <c r="F28" s="237">
        <v>28</v>
      </c>
      <c r="G28" s="90" t="s">
        <v>86</v>
      </c>
      <c r="H28" s="15">
        <f>'Balance Sheets'!I18</f>
        <v>0</v>
      </c>
      <c r="I28" s="15">
        <f>'Balance Sheets'!H18</f>
        <v>0</v>
      </c>
      <c r="J28" s="15">
        <f t="shared" ref="J28:J34" si="8">H28-I28</f>
        <v>0</v>
      </c>
      <c r="K28" s="35">
        <f t="shared" ref="K28:K34" si="9">J28*$H$4</f>
        <v>0</v>
      </c>
      <c r="M28" s="11"/>
      <c r="N28" s="11"/>
    </row>
    <row r="29" spans="1:14" x14ac:dyDescent="0.25">
      <c r="A29" s="90" t="s">
        <v>87</v>
      </c>
      <c r="B29" s="15">
        <f>'Balance Sheets'!G19</f>
        <v>0</v>
      </c>
      <c r="C29" s="15">
        <f>'Balance Sheets'!F19</f>
        <v>0</v>
      </c>
      <c r="D29" s="15">
        <f t="shared" si="6"/>
        <v>0</v>
      </c>
      <c r="E29" s="35">
        <f t="shared" si="7"/>
        <v>0</v>
      </c>
      <c r="F29" s="237">
        <v>29</v>
      </c>
      <c r="G29" s="90" t="s">
        <v>87</v>
      </c>
      <c r="H29" s="15">
        <f>'Balance Sheets'!I19</f>
        <v>0</v>
      </c>
      <c r="I29" s="15">
        <f>'Balance Sheets'!H19</f>
        <v>0</v>
      </c>
      <c r="J29" s="15">
        <f t="shared" si="8"/>
        <v>0</v>
      </c>
      <c r="K29" s="35">
        <f t="shared" si="9"/>
        <v>0</v>
      </c>
      <c r="M29" s="11"/>
      <c r="N29" s="11"/>
    </row>
    <row r="30" spans="1:14" x14ac:dyDescent="0.25">
      <c r="A30" s="90" t="s">
        <v>88</v>
      </c>
      <c r="B30" s="15">
        <f>'Balance Sheets'!G26</f>
        <v>0</v>
      </c>
      <c r="C30" s="15">
        <f>'Balance Sheets'!F26</f>
        <v>0</v>
      </c>
      <c r="D30" s="15">
        <f t="shared" si="6"/>
        <v>0</v>
      </c>
      <c r="E30" s="35">
        <f t="shared" si="7"/>
        <v>0</v>
      </c>
      <c r="F30" s="237">
        <v>30</v>
      </c>
      <c r="G30" s="90" t="s">
        <v>88</v>
      </c>
      <c r="H30" s="15">
        <f>'Balance Sheets'!I26</f>
        <v>0</v>
      </c>
      <c r="I30" s="15">
        <f>'Balance Sheets'!H26</f>
        <v>0</v>
      </c>
      <c r="J30" s="15">
        <f t="shared" si="8"/>
        <v>0</v>
      </c>
      <c r="K30" s="35">
        <f t="shared" si="9"/>
        <v>0</v>
      </c>
      <c r="M30" s="11"/>
      <c r="N30" s="11"/>
    </row>
    <row r="31" spans="1:14" x14ac:dyDescent="0.25">
      <c r="A31" s="92" t="s">
        <v>89</v>
      </c>
      <c r="B31" s="15">
        <f>'Balance Sheets'!G27</f>
        <v>0</v>
      </c>
      <c r="C31" s="15">
        <f>'Balance Sheets'!F27</f>
        <v>0</v>
      </c>
      <c r="D31" s="15">
        <f t="shared" si="6"/>
        <v>0</v>
      </c>
      <c r="E31" s="35">
        <f t="shared" si="7"/>
        <v>0</v>
      </c>
      <c r="F31" s="237">
        <v>31</v>
      </c>
      <c r="G31" s="92" t="s">
        <v>89</v>
      </c>
      <c r="H31" s="15">
        <f>'Balance Sheets'!I27</f>
        <v>0</v>
      </c>
      <c r="I31" s="15">
        <f>'Balance Sheets'!H27</f>
        <v>0</v>
      </c>
      <c r="J31" s="15">
        <f t="shared" si="8"/>
        <v>0</v>
      </c>
      <c r="K31" s="35">
        <f t="shared" si="9"/>
        <v>0</v>
      </c>
      <c r="M31" s="11"/>
      <c r="N31" s="11"/>
    </row>
    <row r="32" spans="1:14" x14ac:dyDescent="0.25">
      <c r="A32" s="92" t="s">
        <v>90</v>
      </c>
      <c r="B32" s="15">
        <f>'Balance Sheets'!G28</f>
        <v>0</v>
      </c>
      <c r="C32" s="15">
        <f>'Balance Sheets'!F28</f>
        <v>0</v>
      </c>
      <c r="D32" s="15">
        <f t="shared" si="6"/>
        <v>0</v>
      </c>
      <c r="E32" s="35">
        <f t="shared" si="7"/>
        <v>0</v>
      </c>
      <c r="F32" s="237">
        <v>32</v>
      </c>
      <c r="G32" s="92" t="s">
        <v>90</v>
      </c>
      <c r="H32" s="15">
        <f>'Balance Sheets'!I28</f>
        <v>0</v>
      </c>
      <c r="I32" s="15">
        <f>'Balance Sheets'!H28</f>
        <v>0</v>
      </c>
      <c r="J32" s="15">
        <f t="shared" si="8"/>
        <v>0</v>
      </c>
      <c r="K32" s="35">
        <f t="shared" si="9"/>
        <v>0</v>
      </c>
      <c r="M32" s="11"/>
      <c r="N32" s="11"/>
    </row>
    <row r="33" spans="1:14" x14ac:dyDescent="0.25">
      <c r="A33" s="92" t="s">
        <v>112</v>
      </c>
      <c r="B33" s="557">
        <f>'Balance Sheets'!G20+'Balance Sheets'!G29</f>
        <v>0</v>
      </c>
      <c r="C33" s="557">
        <f>'Balance Sheets'!F20+'Balance Sheets'!F29</f>
        <v>0</v>
      </c>
      <c r="D33" s="15">
        <f t="shared" si="6"/>
        <v>0</v>
      </c>
      <c r="E33" s="35">
        <f t="shared" si="7"/>
        <v>0</v>
      </c>
      <c r="F33" s="237">
        <v>33</v>
      </c>
      <c r="G33" s="92" t="s">
        <v>112</v>
      </c>
      <c r="H33" s="557">
        <f>'Balance Sheets'!I20+'Balance Sheets'!I29</f>
        <v>0</v>
      </c>
      <c r="I33" s="557">
        <f>'Balance Sheets'!H20+'Balance Sheets'!H29</f>
        <v>0</v>
      </c>
      <c r="J33" s="15">
        <f t="shared" si="8"/>
        <v>0</v>
      </c>
      <c r="K33" s="35">
        <f t="shared" si="9"/>
        <v>0</v>
      </c>
      <c r="M33" s="11"/>
      <c r="N33" s="11"/>
    </row>
    <row r="34" spans="1:14" x14ac:dyDescent="0.25">
      <c r="A34" s="93" t="s">
        <v>91</v>
      </c>
      <c r="B34" s="15">
        <f>'Balance Sheets'!G23+'Balance Sheets'!G31</f>
        <v>0</v>
      </c>
      <c r="C34" s="15">
        <f>'Balance Sheets'!F23+'Balance Sheets'!F31</f>
        <v>0</v>
      </c>
      <c r="D34" s="15">
        <f t="shared" si="6"/>
        <v>0</v>
      </c>
      <c r="E34" s="35">
        <f t="shared" si="7"/>
        <v>0</v>
      </c>
      <c r="F34" s="237">
        <v>34</v>
      </c>
      <c r="G34" s="93" t="s">
        <v>91</v>
      </c>
      <c r="H34" s="15">
        <f>'Balance Sheets'!I23+'Balance Sheets'!I31</f>
        <v>0</v>
      </c>
      <c r="I34" s="15">
        <f>'Balance Sheets'!H23+'Balance Sheets'!H31</f>
        <v>0</v>
      </c>
      <c r="J34" s="15">
        <f t="shared" si="8"/>
        <v>0</v>
      </c>
      <c r="K34" s="35">
        <f t="shared" si="9"/>
        <v>0</v>
      </c>
      <c r="M34" s="11"/>
      <c r="N34" s="11"/>
    </row>
    <row r="35" spans="1:14" x14ac:dyDescent="0.25">
      <c r="A35" s="95" t="s">
        <v>11</v>
      </c>
      <c r="B35" s="1856" t="s">
        <v>110</v>
      </c>
      <c r="C35" s="1857"/>
      <c r="D35" s="99">
        <f>SUM(D27:D34)</f>
        <v>0</v>
      </c>
      <c r="E35" s="97">
        <f>SUM(E27:E34)</f>
        <v>0</v>
      </c>
      <c r="F35" s="237">
        <v>35</v>
      </c>
      <c r="G35" s="95" t="s">
        <v>11</v>
      </c>
      <c r="H35" s="1856" t="s">
        <v>110</v>
      </c>
      <c r="I35" s="1857"/>
      <c r="J35" s="99">
        <f>SUM(J27:J34)</f>
        <v>0</v>
      </c>
      <c r="K35" s="97">
        <f>SUM(K27:K34)</f>
        <v>0</v>
      </c>
      <c r="M35" s="11"/>
    </row>
    <row r="36" spans="1:14" s="87" customFormat="1" x14ac:dyDescent="0.25">
      <c r="A36" s="90"/>
      <c r="B36" s="15">
        <f>SUM(B27:B34)</f>
        <v>0</v>
      </c>
      <c r="C36" s="15">
        <f>SUM(C27:C34)</f>
        <v>0</v>
      </c>
      <c r="D36" s="15">
        <f>SUM(D27:D34)</f>
        <v>0</v>
      </c>
      <c r="E36" s="43"/>
      <c r="F36" s="237">
        <v>36</v>
      </c>
      <c r="G36" s="90"/>
      <c r="H36" s="10"/>
      <c r="I36" s="10"/>
      <c r="J36" s="19"/>
      <c r="K36" s="43"/>
      <c r="M36" s="11"/>
    </row>
    <row r="37" spans="1:14" ht="15.75" thickBot="1" x14ac:dyDescent="0.3">
      <c r="A37" s="102"/>
      <c r="B37" s="103"/>
      <c r="C37" s="103"/>
      <c r="D37" s="104" t="s">
        <v>96</v>
      </c>
      <c r="E37" s="105">
        <f>E11+E23+E35</f>
        <v>0</v>
      </c>
      <c r="F37" s="237">
        <v>37</v>
      </c>
      <c r="G37" s="102"/>
      <c r="H37" s="103"/>
      <c r="I37" s="103"/>
      <c r="J37" s="104" t="s">
        <v>96</v>
      </c>
      <c r="K37" s="105">
        <f>K11+K23+K35</f>
        <v>0</v>
      </c>
      <c r="M37" s="11"/>
    </row>
    <row r="38" spans="1:14" x14ac:dyDescent="0.25">
      <c r="D38" s="58"/>
    </row>
    <row r="39" spans="1:14" x14ac:dyDescent="0.25">
      <c r="E39" s="11"/>
    </row>
    <row r="40" spans="1:14" x14ac:dyDescent="0.25">
      <c r="E40" s="11"/>
    </row>
    <row r="41" spans="1:14" x14ac:dyDescent="0.25">
      <c r="E41" s="11"/>
    </row>
    <row r="42" spans="1:14" x14ac:dyDescent="0.25">
      <c r="E42" s="11"/>
    </row>
  </sheetData>
  <mergeCells count="11">
    <mergeCell ref="A1:K1"/>
    <mergeCell ref="G6:K6"/>
    <mergeCell ref="G12:K12"/>
    <mergeCell ref="G25:K25"/>
    <mergeCell ref="H35:I35"/>
    <mergeCell ref="G2:H2"/>
    <mergeCell ref="B35:C35"/>
    <mergeCell ref="A6:E6"/>
    <mergeCell ref="A12:E12"/>
    <mergeCell ref="A25:E25"/>
    <mergeCell ref="A2:C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36B3-A47E-4BCE-918B-E508677F55E2}">
  <sheetPr>
    <tabColor rgb="FFFFFF81"/>
  </sheetPr>
  <dimension ref="A1:H96"/>
  <sheetViews>
    <sheetView showGridLines="0" zoomScaleNormal="100" workbookViewId="0">
      <pane ySplit="2" topLeftCell="A3" activePane="bottomLeft" state="frozen"/>
      <selection pane="bottomLeft" activeCell="C91" sqref="C91"/>
    </sheetView>
  </sheetViews>
  <sheetFormatPr defaultColWidth="8.7109375" defaultRowHeight="15" x14ac:dyDescent="0.25"/>
  <cols>
    <col min="1" max="1" width="2.85546875" style="391" customWidth="1"/>
    <col min="2" max="2" width="65.140625" style="391" customWidth="1"/>
    <col min="3" max="3" width="20.42578125" style="391" customWidth="1"/>
    <col min="4" max="4" width="27.28515625" style="391" customWidth="1"/>
    <col min="5" max="8" width="13.7109375" style="391" customWidth="1"/>
    <col min="9" max="9" width="13" style="391" customWidth="1"/>
    <col min="10" max="16384" width="8.7109375" style="391"/>
  </cols>
  <sheetData>
    <row r="1" spans="1:8" ht="78.400000000000006" customHeight="1" x14ac:dyDescent="0.3">
      <c r="A1" s="237">
        <v>1</v>
      </c>
      <c r="B1" s="1396" t="s">
        <v>633</v>
      </c>
      <c r="C1" s="1397"/>
      <c r="D1" s="111"/>
      <c r="E1" s="111"/>
      <c r="F1" s="111"/>
      <c r="G1" s="111"/>
      <c r="H1" s="6"/>
    </row>
    <row r="2" spans="1:8" ht="16.899999999999999" customHeight="1" x14ac:dyDescent="0.25">
      <c r="A2" s="237">
        <v>2</v>
      </c>
      <c r="B2" s="1398" t="s">
        <v>634</v>
      </c>
      <c r="C2" s="1399"/>
      <c r="D2" s="393"/>
      <c r="E2" s="393"/>
      <c r="F2" s="393"/>
      <c r="G2" s="393"/>
      <c r="H2" s="6"/>
    </row>
    <row r="3" spans="1:8" ht="16.899999999999999" customHeight="1" x14ac:dyDescent="0.25">
      <c r="A3" s="237">
        <v>3</v>
      </c>
      <c r="B3" s="537" t="s">
        <v>801</v>
      </c>
      <c r="C3" s="519"/>
      <c r="D3" s="393"/>
      <c r="E3" s="393"/>
      <c r="F3" s="393"/>
      <c r="G3" s="393"/>
      <c r="H3" s="400"/>
    </row>
    <row r="4" spans="1:8" ht="18.95" customHeight="1" x14ac:dyDescent="0.25">
      <c r="A4" s="237">
        <v>4</v>
      </c>
      <c r="B4" s="538" t="s">
        <v>105</v>
      </c>
      <c r="C4" s="1860"/>
      <c r="D4" s="394"/>
      <c r="E4" s="394"/>
      <c r="F4" s="394"/>
      <c r="G4" s="394"/>
      <c r="H4" s="6"/>
    </row>
    <row r="5" spans="1:8" ht="18.75" x14ac:dyDescent="0.25">
      <c r="A5" s="237">
        <v>5</v>
      </c>
      <c r="B5" s="532" t="s">
        <v>242</v>
      </c>
      <c r="C5" s="1861"/>
      <c r="D5" s="395"/>
      <c r="E5" s="395"/>
      <c r="F5" s="395"/>
      <c r="G5" s="395"/>
      <c r="H5" s="6"/>
    </row>
    <row r="6" spans="1:8" ht="19.149999999999999" customHeight="1" x14ac:dyDescent="0.3">
      <c r="A6" s="237">
        <v>6</v>
      </c>
      <c r="B6" s="532" t="s">
        <v>748</v>
      </c>
      <c r="C6" s="1862"/>
      <c r="D6" s="396"/>
      <c r="E6" s="396"/>
      <c r="F6" s="396"/>
      <c r="G6" s="396"/>
      <c r="H6" s="6"/>
    </row>
    <row r="7" spans="1:8" ht="19.149999999999999" customHeight="1" x14ac:dyDescent="0.3">
      <c r="A7" s="237">
        <v>7</v>
      </c>
      <c r="B7" s="532" t="s">
        <v>749</v>
      </c>
      <c r="C7" s="1862"/>
      <c r="D7" s="396"/>
      <c r="E7" s="396"/>
      <c r="F7" s="396"/>
      <c r="G7" s="396"/>
      <c r="H7" s="400"/>
    </row>
    <row r="8" spans="1:8" ht="15.75" x14ac:dyDescent="0.25">
      <c r="A8" s="237">
        <v>8</v>
      </c>
      <c r="B8" s="532" t="s">
        <v>250</v>
      </c>
      <c r="C8" s="1863"/>
      <c r="D8" s="6"/>
      <c r="E8" s="6"/>
      <c r="F8" s="6"/>
      <c r="G8" s="6"/>
      <c r="H8" s="6"/>
    </row>
    <row r="9" spans="1:8" ht="16.5" thickBot="1" x14ac:dyDescent="0.3">
      <c r="A9" s="237">
        <v>9</v>
      </c>
      <c r="B9" s="539" t="s">
        <v>106</v>
      </c>
      <c r="C9" s="1864"/>
      <c r="D9" s="381"/>
      <c r="E9" s="381"/>
      <c r="F9" s="381"/>
      <c r="G9" s="381"/>
      <c r="H9" s="6"/>
    </row>
    <row r="10" spans="1:8" ht="23.65" customHeight="1" x14ac:dyDescent="0.25">
      <c r="A10" s="237">
        <v>10</v>
      </c>
      <c r="B10" s="1298" t="s">
        <v>920</v>
      </c>
      <c r="C10" s="529"/>
      <c r="D10" s="6"/>
      <c r="E10" s="6"/>
      <c r="F10" s="6"/>
      <c r="G10" s="6"/>
      <c r="H10" s="6"/>
    </row>
    <row r="11" spans="1:8" ht="15" customHeight="1" x14ac:dyDescent="0.25">
      <c r="A11" s="237">
        <v>11</v>
      </c>
      <c r="B11" s="533" t="s">
        <v>795</v>
      </c>
      <c r="C11" s="530"/>
      <c r="D11" s="400"/>
      <c r="E11" s="400"/>
      <c r="F11" s="400"/>
      <c r="G11" s="400"/>
      <c r="H11" s="400"/>
    </row>
    <row r="12" spans="1:8" ht="15.75" x14ac:dyDescent="0.25">
      <c r="A12" s="237">
        <v>12</v>
      </c>
      <c r="B12" s="532" t="s">
        <v>773</v>
      </c>
      <c r="C12" s="1865">
        <v>0</v>
      </c>
      <c r="D12" s="397"/>
      <c r="E12" s="397"/>
      <c r="F12" s="397"/>
      <c r="G12" s="397"/>
      <c r="H12" s="6"/>
    </row>
    <row r="13" spans="1:8" ht="15.75" x14ac:dyDescent="0.25">
      <c r="A13" s="237">
        <v>13</v>
      </c>
      <c r="B13" s="532" t="s">
        <v>774</v>
      </c>
      <c r="C13" s="1866"/>
      <c r="D13" s="397"/>
      <c r="E13" s="397"/>
      <c r="F13" s="397"/>
      <c r="G13" s="397"/>
      <c r="H13" s="6"/>
    </row>
    <row r="14" spans="1:8" ht="15.75" x14ac:dyDescent="0.25">
      <c r="A14" s="237">
        <v>14</v>
      </c>
      <c r="B14" s="532" t="s">
        <v>775</v>
      </c>
      <c r="C14" s="1867"/>
      <c r="D14" s="514"/>
      <c r="E14" s="397"/>
      <c r="F14" s="397"/>
      <c r="G14" s="397"/>
      <c r="H14" s="6"/>
    </row>
    <row r="15" spans="1:8" ht="15.75" x14ac:dyDescent="0.25">
      <c r="A15" s="237">
        <v>15</v>
      </c>
      <c r="B15" s="532" t="s">
        <v>776</v>
      </c>
      <c r="C15" s="520">
        <f>C12*C13*C14</f>
        <v>0</v>
      </c>
      <c r="D15" s="514"/>
      <c r="E15" s="397"/>
      <c r="F15" s="397"/>
      <c r="G15" s="397"/>
      <c r="H15" s="400"/>
    </row>
    <row r="16" spans="1:8" ht="15.75" x14ac:dyDescent="0.25">
      <c r="A16" s="237">
        <v>16</v>
      </c>
      <c r="B16" s="532" t="s">
        <v>777</v>
      </c>
      <c r="C16" s="1868"/>
      <c r="D16" s="203"/>
      <c r="E16" s="397"/>
      <c r="F16" s="397"/>
      <c r="G16" s="397"/>
      <c r="H16" s="6"/>
    </row>
    <row r="17" spans="1:8" ht="15.75" x14ac:dyDescent="0.25">
      <c r="A17" s="237">
        <v>17</v>
      </c>
      <c r="B17" s="533" t="s">
        <v>794</v>
      </c>
      <c r="C17" s="594"/>
      <c r="D17" s="203"/>
      <c r="E17" s="397"/>
      <c r="F17" s="397"/>
      <c r="G17" s="397"/>
      <c r="H17" s="400"/>
    </row>
    <row r="18" spans="1:8" ht="15.75" x14ac:dyDescent="0.25">
      <c r="A18" s="237">
        <v>18</v>
      </c>
      <c r="B18" s="532" t="s">
        <v>778</v>
      </c>
      <c r="C18" s="1866"/>
      <c r="D18" s="397"/>
      <c r="E18" s="397"/>
      <c r="F18" s="397"/>
      <c r="G18" s="397"/>
      <c r="H18" s="6"/>
    </row>
    <row r="19" spans="1:8" ht="15.75" x14ac:dyDescent="0.25">
      <c r="A19" s="237">
        <v>19</v>
      </c>
      <c r="B19" s="532" t="s">
        <v>779</v>
      </c>
      <c r="C19" s="1866"/>
      <c r="D19" s="515"/>
      <c r="E19" s="397"/>
      <c r="F19" s="397"/>
      <c r="G19" s="397"/>
      <c r="H19" s="6"/>
    </row>
    <row r="20" spans="1:8" ht="15.75" x14ac:dyDescent="0.25">
      <c r="A20" s="237">
        <v>20</v>
      </c>
      <c r="B20" s="532" t="s">
        <v>780</v>
      </c>
      <c r="C20" s="1867"/>
      <c r="D20" s="516"/>
      <c r="E20" s="397"/>
      <c r="F20" s="397"/>
      <c r="G20" s="397"/>
      <c r="H20" s="6"/>
    </row>
    <row r="21" spans="1:8" ht="15.75" x14ac:dyDescent="0.25">
      <c r="A21" s="237">
        <v>21</v>
      </c>
      <c r="B21" s="532" t="s">
        <v>781</v>
      </c>
      <c r="C21" s="521">
        <f>C18*C19*C20</f>
        <v>0</v>
      </c>
      <c r="D21" s="516"/>
      <c r="E21" s="397"/>
      <c r="F21" s="397"/>
      <c r="G21" s="397"/>
      <c r="H21" s="400"/>
    </row>
    <row r="22" spans="1:8" ht="15.75" x14ac:dyDescent="0.25">
      <c r="A22" s="237">
        <v>22</v>
      </c>
      <c r="B22" s="532" t="s">
        <v>782</v>
      </c>
      <c r="C22" s="1868"/>
      <c r="D22" s="277"/>
      <c r="E22" s="397"/>
      <c r="F22" s="397"/>
      <c r="G22" s="397"/>
      <c r="H22" s="6"/>
    </row>
    <row r="23" spans="1:8" ht="15.75" x14ac:dyDescent="0.25">
      <c r="A23" s="237">
        <v>23</v>
      </c>
      <c r="B23" s="533" t="s">
        <v>796</v>
      </c>
      <c r="C23" s="594"/>
      <c r="D23" s="203"/>
      <c r="E23" s="397"/>
      <c r="F23" s="397"/>
      <c r="G23" s="397"/>
      <c r="H23" s="400"/>
    </row>
    <row r="24" spans="1:8" ht="15.75" x14ac:dyDescent="0.25">
      <c r="A24" s="237">
        <v>24</v>
      </c>
      <c r="B24" s="532" t="s">
        <v>783</v>
      </c>
      <c r="C24" s="1866"/>
      <c r="D24" s="397"/>
      <c r="E24" s="397"/>
      <c r="F24" s="397"/>
      <c r="G24" s="397"/>
      <c r="H24" s="6"/>
    </row>
    <row r="25" spans="1:8" ht="15.75" x14ac:dyDescent="0.25">
      <c r="A25" s="237">
        <v>25</v>
      </c>
      <c r="B25" s="532" t="s">
        <v>723</v>
      </c>
      <c r="C25" s="1868"/>
      <c r="D25" s="397"/>
      <c r="E25" s="397"/>
      <c r="F25" s="397"/>
      <c r="G25" s="397"/>
      <c r="H25" s="400"/>
    </row>
    <row r="26" spans="1:8" ht="15.75" x14ac:dyDescent="0.25">
      <c r="A26" s="237">
        <v>26</v>
      </c>
      <c r="B26" s="532" t="s">
        <v>635</v>
      </c>
      <c r="C26" s="522">
        <f>C12+C18+C24</f>
        <v>0</v>
      </c>
      <c r="D26" s="397"/>
      <c r="E26" s="397"/>
      <c r="F26" s="397"/>
      <c r="G26" s="397"/>
      <c r="H26" s="6"/>
    </row>
    <row r="27" spans="1:8" ht="15.75" x14ac:dyDescent="0.25">
      <c r="A27" s="237">
        <v>27</v>
      </c>
      <c r="B27" s="533" t="s">
        <v>800</v>
      </c>
      <c r="C27" s="522"/>
      <c r="D27" s="397"/>
      <c r="E27" s="397"/>
      <c r="F27" s="397"/>
      <c r="G27" s="397"/>
      <c r="H27" s="400"/>
    </row>
    <row r="28" spans="1:8" ht="15.75" x14ac:dyDescent="0.25">
      <c r="A28" s="237">
        <v>28</v>
      </c>
      <c r="B28" s="532" t="s">
        <v>784</v>
      </c>
      <c r="C28" s="1865"/>
      <c r="D28" s="397"/>
      <c r="E28" s="397"/>
      <c r="F28" s="397"/>
      <c r="G28" s="397"/>
      <c r="H28" s="6"/>
    </row>
    <row r="29" spans="1:8" ht="15.75" x14ac:dyDescent="0.25">
      <c r="A29" s="237">
        <v>29</v>
      </c>
      <c r="B29" s="532" t="s">
        <v>846</v>
      </c>
      <c r="C29" s="523">
        <f>SUM(C26:C28)</f>
        <v>0</v>
      </c>
      <c r="D29" s="397"/>
      <c r="E29" s="397"/>
      <c r="F29" s="397"/>
      <c r="G29" s="397"/>
      <c r="H29" s="6"/>
    </row>
    <row r="30" spans="1:8" ht="15.75" x14ac:dyDescent="0.25">
      <c r="A30" s="237">
        <v>30</v>
      </c>
      <c r="B30" s="532" t="s">
        <v>785</v>
      </c>
      <c r="C30" s="1866"/>
      <c r="D30" s="397"/>
      <c r="E30" s="397"/>
      <c r="F30" s="397"/>
      <c r="G30" s="397"/>
      <c r="H30" s="6"/>
    </row>
    <row r="31" spans="1:8" ht="15.75" x14ac:dyDescent="0.25">
      <c r="A31" s="237">
        <v>31</v>
      </c>
      <c r="B31" s="532" t="s">
        <v>786</v>
      </c>
      <c r="C31" s="1866"/>
      <c r="D31" s="397"/>
      <c r="E31" s="397"/>
      <c r="F31" s="397"/>
      <c r="G31" s="397"/>
      <c r="H31" s="6"/>
    </row>
    <row r="32" spans="1:8" ht="15.75" x14ac:dyDescent="0.25">
      <c r="A32" s="237">
        <v>32</v>
      </c>
      <c r="B32" s="532" t="s">
        <v>787</v>
      </c>
      <c r="C32" s="523">
        <f>SUM(C29:C31)</f>
        <v>0</v>
      </c>
      <c r="D32" s="397"/>
      <c r="E32" s="397"/>
      <c r="F32" s="397"/>
      <c r="G32" s="397"/>
      <c r="H32" s="6"/>
    </row>
    <row r="33" spans="1:8" ht="15.75" x14ac:dyDescent="0.25">
      <c r="A33" s="237">
        <v>33</v>
      </c>
      <c r="B33" s="532" t="s">
        <v>788</v>
      </c>
      <c r="C33" s="1865"/>
      <c r="D33" s="397"/>
      <c r="E33" s="397"/>
      <c r="F33" s="397"/>
      <c r="G33" s="397"/>
      <c r="H33" s="400"/>
    </row>
    <row r="34" spans="1:8" ht="15.75" x14ac:dyDescent="0.25">
      <c r="A34" s="237">
        <v>34</v>
      </c>
      <c r="B34" s="533" t="s">
        <v>797</v>
      </c>
      <c r="C34" s="523"/>
      <c r="D34" s="397"/>
      <c r="E34" s="397"/>
      <c r="F34" s="397"/>
      <c r="G34" s="397"/>
      <c r="H34" s="400"/>
    </row>
    <row r="35" spans="1:8" ht="15.75" x14ac:dyDescent="0.25">
      <c r="A35" s="237">
        <v>35</v>
      </c>
      <c r="B35" s="532" t="s">
        <v>789</v>
      </c>
      <c r="C35" s="1865"/>
      <c r="D35" s="397"/>
      <c r="E35" s="397"/>
      <c r="F35" s="397"/>
      <c r="G35" s="397"/>
      <c r="H35" s="6"/>
    </row>
    <row r="36" spans="1:8" ht="15.75" x14ac:dyDescent="0.25">
      <c r="A36" s="237">
        <v>36</v>
      </c>
      <c r="B36" s="532" t="s">
        <v>728</v>
      </c>
      <c r="C36" s="1866"/>
      <c r="D36" s="397"/>
      <c r="E36" s="397"/>
      <c r="F36" s="397"/>
      <c r="G36" s="397"/>
      <c r="H36" s="6"/>
    </row>
    <row r="37" spans="1:8" ht="15.75" x14ac:dyDescent="0.25">
      <c r="A37" s="237">
        <v>37</v>
      </c>
      <c r="B37" s="532" t="s">
        <v>919</v>
      </c>
      <c r="C37" s="1869"/>
      <c r="D37" s="515"/>
      <c r="E37" s="397"/>
      <c r="F37" s="397"/>
      <c r="G37" s="397"/>
      <c r="H37" s="6"/>
    </row>
    <row r="38" spans="1:8" ht="15.75" x14ac:dyDescent="0.25">
      <c r="A38" s="237">
        <v>38</v>
      </c>
      <c r="B38" s="532" t="s">
        <v>636</v>
      </c>
      <c r="C38" s="523">
        <f>(C35*(C36*305))/100</f>
        <v>0</v>
      </c>
      <c r="D38" s="516"/>
      <c r="E38" s="397"/>
      <c r="F38" s="397"/>
      <c r="G38" s="397"/>
      <c r="H38" s="6"/>
    </row>
    <row r="39" spans="1:8" ht="15.75" x14ac:dyDescent="0.25">
      <c r="A39" s="237">
        <v>39</v>
      </c>
      <c r="B39" s="532" t="s">
        <v>790</v>
      </c>
      <c r="C39" s="521">
        <f>C38*C37</f>
        <v>0</v>
      </c>
      <c r="D39" s="516"/>
      <c r="E39" s="397"/>
      <c r="F39" s="397"/>
      <c r="G39" s="397"/>
      <c r="H39" s="400"/>
    </row>
    <row r="40" spans="1:8" ht="15.75" x14ac:dyDescent="0.25">
      <c r="A40" s="237">
        <v>40</v>
      </c>
      <c r="B40" s="532" t="s">
        <v>791</v>
      </c>
      <c r="C40" s="1868"/>
      <c r="D40" s="277"/>
      <c r="E40" s="397"/>
      <c r="F40" s="397"/>
      <c r="G40" s="397"/>
      <c r="H40" s="6"/>
    </row>
    <row r="41" spans="1:8" ht="15.75" x14ac:dyDescent="0.25">
      <c r="A41" s="237">
        <v>41</v>
      </c>
      <c r="B41" s="533" t="s">
        <v>798</v>
      </c>
      <c r="C41" s="594"/>
      <c r="D41" s="277"/>
      <c r="E41" s="397"/>
      <c r="F41" s="397"/>
      <c r="G41" s="397"/>
      <c r="H41" s="400"/>
    </row>
    <row r="42" spans="1:8" ht="15.75" x14ac:dyDescent="0.25">
      <c r="A42" s="237">
        <v>42</v>
      </c>
      <c r="B42" s="532" t="s">
        <v>637</v>
      </c>
      <c r="C42" s="1865"/>
      <c r="D42" s="517"/>
      <c r="E42" s="398"/>
      <c r="F42" s="398"/>
      <c r="G42" s="398"/>
      <c r="H42" s="6"/>
    </row>
    <row r="43" spans="1:8" ht="15.75" x14ac:dyDescent="0.25">
      <c r="A43" s="237">
        <v>43</v>
      </c>
      <c r="B43" s="532" t="s">
        <v>793</v>
      </c>
      <c r="C43" s="1865"/>
      <c r="D43" s="517"/>
      <c r="E43" s="398"/>
      <c r="F43" s="398"/>
      <c r="G43" s="398"/>
      <c r="H43" s="6"/>
    </row>
    <row r="44" spans="1:8" ht="15.75" x14ac:dyDescent="0.25">
      <c r="A44" s="237">
        <v>44</v>
      </c>
      <c r="B44" s="532" t="s">
        <v>638</v>
      </c>
      <c r="C44" s="1869"/>
      <c r="D44" s="516"/>
      <c r="E44" s="398"/>
      <c r="F44" s="398"/>
      <c r="G44" s="398"/>
      <c r="H44" s="6"/>
    </row>
    <row r="45" spans="1:8" ht="15.75" x14ac:dyDescent="0.25">
      <c r="A45" s="237">
        <v>45</v>
      </c>
      <c r="B45" s="532" t="s">
        <v>792</v>
      </c>
      <c r="C45" s="521">
        <f>C42*C43*C44</f>
        <v>0</v>
      </c>
      <c r="D45" s="516"/>
      <c r="E45" s="398"/>
      <c r="F45" s="398"/>
      <c r="G45" s="398"/>
      <c r="H45" s="400"/>
    </row>
    <row r="46" spans="1:8" ht="15.75" x14ac:dyDescent="0.25">
      <c r="A46" s="237">
        <v>46</v>
      </c>
      <c r="B46" s="532" t="s">
        <v>703</v>
      </c>
      <c r="C46" s="1868"/>
      <c r="D46" s="277"/>
      <c r="E46" s="397"/>
      <c r="F46" s="397"/>
      <c r="G46" s="397"/>
      <c r="H46" s="6"/>
    </row>
    <row r="47" spans="1:8" ht="15.75" x14ac:dyDescent="0.25">
      <c r="A47" s="237">
        <v>47</v>
      </c>
      <c r="B47" s="533" t="s">
        <v>799</v>
      </c>
      <c r="C47" s="594"/>
      <c r="D47" s="277"/>
      <c r="E47" s="397"/>
      <c r="F47" s="397"/>
      <c r="G47" s="397"/>
      <c r="H47" s="400"/>
    </row>
    <row r="48" spans="1:8" ht="15.75" x14ac:dyDescent="0.25">
      <c r="A48" s="237">
        <v>48</v>
      </c>
      <c r="B48" s="532" t="s">
        <v>809</v>
      </c>
      <c r="C48" s="1868"/>
      <c r="D48" s="518"/>
      <c r="E48" s="397"/>
      <c r="F48" s="397"/>
      <c r="G48" s="397"/>
      <c r="H48" s="400"/>
    </row>
    <row r="49" spans="1:8" ht="16.5" thickBot="1" x14ac:dyDescent="0.3">
      <c r="A49" s="237">
        <v>49</v>
      </c>
      <c r="B49" s="539" t="s">
        <v>810</v>
      </c>
      <c r="C49" s="524">
        <f>C16+C22+C25+C40+C46+C48</f>
        <v>0</v>
      </c>
      <c r="D49" s="518"/>
      <c r="E49" s="397"/>
      <c r="F49" s="397"/>
      <c r="G49" s="397"/>
      <c r="H49" s="400"/>
    </row>
    <row r="50" spans="1:8" ht="24" customHeight="1" x14ac:dyDescent="0.25">
      <c r="A50" s="237">
        <v>50</v>
      </c>
      <c r="B50" s="1299" t="s">
        <v>803</v>
      </c>
      <c r="C50" s="525">
        <f>C9</f>
        <v>0</v>
      </c>
      <c r="D50" s="324"/>
      <c r="E50" s="324"/>
      <c r="F50" s="324"/>
      <c r="G50" s="324"/>
      <c r="H50" s="6"/>
    </row>
    <row r="51" spans="1:8" ht="15.95" customHeight="1" x14ac:dyDescent="0.25">
      <c r="A51" s="237">
        <v>51</v>
      </c>
      <c r="B51" s="533" t="s">
        <v>802</v>
      </c>
      <c r="C51" s="526"/>
      <c r="D51" s="324"/>
      <c r="E51" s="324"/>
      <c r="F51" s="324"/>
      <c r="G51" s="324"/>
      <c r="H51" s="400"/>
    </row>
    <row r="52" spans="1:8" x14ac:dyDescent="0.25">
      <c r="A52" s="237">
        <v>52</v>
      </c>
      <c r="B52" s="540" t="s">
        <v>876</v>
      </c>
      <c r="C52" s="527">
        <f>'Balance Sheets'!I37</f>
        <v>0</v>
      </c>
      <c r="D52" s="4"/>
      <c r="E52" s="4"/>
      <c r="F52" s="4"/>
      <c r="G52" s="4"/>
      <c r="H52" s="6"/>
    </row>
    <row r="53" spans="1:8" x14ac:dyDescent="0.25">
      <c r="A53" s="237">
        <v>53</v>
      </c>
      <c r="B53" s="540" t="s">
        <v>877</v>
      </c>
      <c r="C53" s="527">
        <f>'Balance Sheets'!I38+'Balance Sheets'!I39</f>
        <v>0</v>
      </c>
      <c r="D53" s="4"/>
      <c r="E53" s="4"/>
      <c r="F53" s="4"/>
      <c r="G53" s="4"/>
      <c r="H53" s="6"/>
    </row>
    <row r="54" spans="1:8" ht="15.75" x14ac:dyDescent="0.25">
      <c r="A54" s="237">
        <v>54</v>
      </c>
      <c r="B54" s="533" t="s">
        <v>1039</v>
      </c>
      <c r="C54" s="527"/>
      <c r="D54" s="4"/>
      <c r="E54" s="4"/>
      <c r="F54" s="4"/>
      <c r="G54" s="4"/>
      <c r="H54" s="400"/>
    </row>
    <row r="55" spans="1:8" x14ac:dyDescent="0.25">
      <c r="A55" s="237">
        <v>55</v>
      </c>
      <c r="B55" s="532" t="s">
        <v>921</v>
      </c>
      <c r="C55" s="1870"/>
      <c r="D55" s="4"/>
      <c r="E55" s="4"/>
      <c r="F55" s="4"/>
      <c r="G55" s="4"/>
      <c r="H55" s="6"/>
    </row>
    <row r="56" spans="1:8" x14ac:dyDescent="0.25">
      <c r="A56" s="237">
        <v>56</v>
      </c>
      <c r="B56" s="532" t="s">
        <v>922</v>
      </c>
      <c r="C56" s="1870"/>
      <c r="D56" s="404"/>
      <c r="E56" s="576"/>
      <c r="F56" s="404"/>
      <c r="G56" s="404"/>
      <c r="H56" s="6"/>
    </row>
    <row r="57" spans="1:8" x14ac:dyDescent="0.25">
      <c r="A57" s="237">
        <v>57</v>
      </c>
      <c r="B57" s="532" t="s">
        <v>923</v>
      </c>
      <c r="C57" s="1871"/>
      <c r="D57" s="577"/>
      <c r="E57" s="577"/>
      <c r="F57" s="577"/>
      <c r="G57" s="577"/>
      <c r="H57" s="6"/>
    </row>
    <row r="58" spans="1:8" ht="15.75" x14ac:dyDescent="0.25">
      <c r="A58" s="237">
        <v>58</v>
      </c>
      <c r="B58" s="533" t="s">
        <v>804</v>
      </c>
      <c r="C58" s="528"/>
      <c r="D58" s="577"/>
      <c r="E58" s="577"/>
      <c r="F58" s="577"/>
      <c r="G58" s="577"/>
      <c r="H58" s="400"/>
    </row>
    <row r="59" spans="1:8" x14ac:dyDescent="0.25">
      <c r="A59" s="237">
        <v>59</v>
      </c>
      <c r="B59" s="532" t="s">
        <v>924</v>
      </c>
      <c r="C59" s="1870"/>
      <c r="D59" s="404"/>
      <c r="E59" s="404"/>
      <c r="F59" s="404"/>
      <c r="G59" s="404"/>
      <c r="H59" s="6"/>
    </row>
    <row r="60" spans="1:8" ht="15.75" thickBot="1" x14ac:dyDescent="0.3">
      <c r="A60" s="237">
        <v>60</v>
      </c>
      <c r="B60" s="532" t="s">
        <v>925</v>
      </c>
      <c r="C60" s="1870"/>
      <c r="D60" s="575"/>
      <c r="E60" s="404"/>
      <c r="F60" s="404"/>
      <c r="G60" s="404"/>
      <c r="H60" s="400"/>
    </row>
    <row r="61" spans="1:8" ht="38.65" customHeight="1" x14ac:dyDescent="0.25">
      <c r="A61" s="237">
        <v>61</v>
      </c>
      <c r="B61" s="1300" t="s">
        <v>1117</v>
      </c>
      <c r="C61" s="525">
        <f>C9</f>
        <v>0</v>
      </c>
      <c r="D61" s="324"/>
      <c r="E61" s="324"/>
      <c r="F61" s="324"/>
      <c r="G61" s="324"/>
      <c r="H61" s="6"/>
    </row>
    <row r="62" spans="1:8" ht="15.6" customHeight="1" x14ac:dyDescent="0.25">
      <c r="A62" s="237">
        <v>62</v>
      </c>
      <c r="B62" s="531" t="s">
        <v>805</v>
      </c>
      <c r="C62" s="526"/>
      <c r="D62" s="324"/>
      <c r="E62" s="324"/>
      <c r="F62" s="324"/>
      <c r="G62" s="324"/>
      <c r="H62" s="400"/>
    </row>
    <row r="63" spans="1:8" ht="15" customHeight="1" x14ac:dyDescent="0.25">
      <c r="A63" s="237">
        <v>63</v>
      </c>
      <c r="B63" s="532" t="s">
        <v>720</v>
      </c>
      <c r="C63" s="1872"/>
      <c r="D63" s="324"/>
      <c r="E63" s="324"/>
      <c r="F63" s="324"/>
      <c r="G63" s="324"/>
      <c r="H63" s="400"/>
    </row>
    <row r="64" spans="1:8" ht="15" customHeight="1" x14ac:dyDescent="0.25">
      <c r="A64" s="237">
        <v>64</v>
      </c>
      <c r="B64" s="532" t="s">
        <v>1035</v>
      </c>
      <c r="C64" s="1865"/>
      <c r="D64" s="324"/>
      <c r="E64" s="324"/>
      <c r="F64" s="324"/>
      <c r="G64" s="324"/>
      <c r="H64" s="400"/>
    </row>
    <row r="65" spans="1:8" ht="15" customHeight="1" x14ac:dyDescent="0.25">
      <c r="A65" s="237">
        <v>65</v>
      </c>
      <c r="B65" s="533" t="s">
        <v>806</v>
      </c>
      <c r="C65" s="523"/>
      <c r="D65" s="324"/>
      <c r="E65" s="324"/>
      <c r="F65" s="324"/>
      <c r="G65" s="324"/>
      <c r="H65" s="400"/>
    </row>
    <row r="66" spans="1:8" ht="15" customHeight="1" x14ac:dyDescent="0.25">
      <c r="A66" s="237">
        <v>66</v>
      </c>
      <c r="B66" s="534" t="s">
        <v>807</v>
      </c>
      <c r="C66" s="1873"/>
      <c r="D66" s="324"/>
      <c r="E66" s="324"/>
      <c r="F66" s="324"/>
      <c r="G66" s="324"/>
      <c r="H66" s="400"/>
    </row>
    <row r="67" spans="1:8" ht="15" customHeight="1" x14ac:dyDescent="0.25">
      <c r="A67" s="237">
        <v>67</v>
      </c>
      <c r="B67" s="534" t="s">
        <v>616</v>
      </c>
      <c r="C67" s="1874"/>
      <c r="D67" s="324"/>
      <c r="E67" s="324"/>
      <c r="F67" s="324"/>
      <c r="G67" s="324"/>
      <c r="H67" s="400"/>
    </row>
    <row r="68" spans="1:8" ht="15" customHeight="1" x14ac:dyDescent="0.25">
      <c r="A68" s="237">
        <v>68</v>
      </c>
      <c r="B68" s="534" t="s">
        <v>926</v>
      </c>
      <c r="C68" s="1875"/>
      <c r="D68" s="324"/>
      <c r="E68" s="324"/>
      <c r="F68" s="324"/>
      <c r="G68" s="324"/>
      <c r="H68" s="400"/>
    </row>
    <row r="69" spans="1:8" ht="15" customHeight="1" x14ac:dyDescent="0.25">
      <c r="A69" s="237">
        <v>69</v>
      </c>
      <c r="B69" s="535" t="s">
        <v>722</v>
      </c>
      <c r="C69" s="536">
        <f>'Income Statement'!F22</f>
        <v>0</v>
      </c>
      <c r="D69" s="324"/>
      <c r="E69" s="324"/>
      <c r="F69" s="324"/>
      <c r="G69" s="324"/>
      <c r="H69" s="400"/>
    </row>
    <row r="70" spans="1:8" ht="15" customHeight="1" x14ac:dyDescent="0.25">
      <c r="A70" s="237">
        <v>70</v>
      </c>
      <c r="B70" s="535" t="s">
        <v>808</v>
      </c>
      <c r="C70" s="1872"/>
      <c r="D70" s="324"/>
      <c r="E70" s="324"/>
      <c r="F70" s="324"/>
      <c r="G70" s="324"/>
      <c r="H70" s="400"/>
    </row>
    <row r="71" spans="1:8" ht="15.75" thickBot="1" x14ac:dyDescent="0.3">
      <c r="A71" s="237">
        <v>71</v>
      </c>
      <c r="B71" s="1123" t="s">
        <v>1013</v>
      </c>
      <c r="C71" s="1124">
        <f>IF((((C67*(25000))+(C68*'Income Statement'!G19))-(C70))&lt;1,0,(((C67*(25000))+(C68*'Income Statement'!G19))-(C70)))</f>
        <v>0</v>
      </c>
      <c r="D71" s="470"/>
      <c r="E71" s="244"/>
      <c r="F71" s="244"/>
      <c r="G71" s="244"/>
      <c r="H71" s="6"/>
    </row>
    <row r="72" spans="1:8" ht="23.65" customHeight="1" x14ac:dyDescent="0.25">
      <c r="A72" s="237">
        <v>72</v>
      </c>
      <c r="B72" s="1299" t="s">
        <v>674</v>
      </c>
      <c r="C72" s="525">
        <f>C9</f>
        <v>0</v>
      </c>
      <c r="D72" s="471"/>
      <c r="E72" s="399"/>
      <c r="F72" s="399"/>
      <c r="G72" s="399"/>
      <c r="H72" s="400"/>
    </row>
    <row r="73" spans="1:8" ht="15.75" x14ac:dyDescent="0.25">
      <c r="A73" s="237">
        <v>73</v>
      </c>
      <c r="B73" s="541" t="s">
        <v>1036</v>
      </c>
      <c r="C73" s="542"/>
      <c r="D73" s="399"/>
      <c r="E73" s="399"/>
      <c r="F73" s="399"/>
      <c r="G73" s="399"/>
      <c r="H73" s="400"/>
    </row>
    <row r="74" spans="1:8" x14ac:dyDescent="0.25">
      <c r="A74" s="237">
        <v>74</v>
      </c>
      <c r="B74" s="532" t="s">
        <v>1037</v>
      </c>
      <c r="C74" s="1876"/>
      <c r="D74" s="399"/>
      <c r="E74" s="399"/>
      <c r="F74" s="399"/>
      <c r="G74" s="399"/>
      <c r="H74" s="400"/>
    </row>
    <row r="75" spans="1:8" x14ac:dyDescent="0.25">
      <c r="A75" s="237">
        <v>75</v>
      </c>
      <c r="B75" s="532" t="s">
        <v>1038</v>
      </c>
      <c r="C75" s="1876"/>
      <c r="D75" s="399"/>
      <c r="E75" s="399"/>
      <c r="F75" s="399"/>
      <c r="G75" s="399"/>
      <c r="H75" s="400"/>
    </row>
    <row r="76" spans="1:8" x14ac:dyDescent="0.25">
      <c r="A76" s="237">
        <v>76</v>
      </c>
      <c r="B76" s="532" t="s">
        <v>589</v>
      </c>
      <c r="C76" s="1870"/>
      <c r="D76" s="475"/>
      <c r="E76" s="399"/>
      <c r="F76" s="399"/>
      <c r="G76" s="399"/>
      <c r="H76" s="400"/>
    </row>
    <row r="77" spans="1:8" x14ac:dyDescent="0.25">
      <c r="A77" s="237">
        <v>77</v>
      </c>
      <c r="B77" s="532" t="s">
        <v>706</v>
      </c>
      <c r="C77" s="1870"/>
      <c r="D77" s="399"/>
      <c r="E77" s="399"/>
      <c r="F77" s="399"/>
      <c r="G77" s="399"/>
      <c r="H77" s="400"/>
    </row>
    <row r="78" spans="1:8" x14ac:dyDescent="0.25">
      <c r="A78" s="237">
        <v>78</v>
      </c>
      <c r="B78" s="532" t="s">
        <v>707</v>
      </c>
      <c r="C78" s="1870"/>
      <c r="D78" s="475"/>
      <c r="E78" s="399"/>
      <c r="F78" s="399"/>
      <c r="G78" s="399"/>
      <c r="H78" s="400"/>
    </row>
    <row r="79" spans="1:8" x14ac:dyDescent="0.25">
      <c r="A79" s="237">
        <v>79</v>
      </c>
      <c r="B79" s="532" t="s">
        <v>812</v>
      </c>
      <c r="C79" s="1870"/>
      <c r="D79" s="475"/>
      <c r="E79" s="399"/>
      <c r="F79" s="399"/>
      <c r="G79" s="399"/>
      <c r="H79" s="400"/>
    </row>
    <row r="80" spans="1:8" ht="15.75" x14ac:dyDescent="0.25">
      <c r="A80" s="237">
        <v>80</v>
      </c>
      <c r="B80" s="533" t="s">
        <v>675</v>
      </c>
      <c r="C80" s="543"/>
      <c r="D80" s="475"/>
      <c r="E80" s="399"/>
      <c r="F80" s="399"/>
      <c r="G80" s="399"/>
      <c r="H80" s="400"/>
    </row>
    <row r="81" spans="1:8" x14ac:dyDescent="0.25">
      <c r="A81" s="237">
        <v>81</v>
      </c>
      <c r="B81" s="532" t="s">
        <v>730</v>
      </c>
      <c r="C81" s="1877"/>
      <c r="D81" s="475"/>
      <c r="E81" s="399"/>
      <c r="F81" s="399"/>
      <c r="G81" s="399"/>
      <c r="H81" s="400"/>
    </row>
    <row r="82" spans="1:8" x14ac:dyDescent="0.25">
      <c r="A82" s="237">
        <v>82</v>
      </c>
      <c r="B82" s="532" t="s">
        <v>591</v>
      </c>
      <c r="C82" s="1877"/>
      <c r="D82" s="475"/>
      <c r="E82" s="399"/>
      <c r="F82" s="399"/>
      <c r="G82" s="399"/>
      <c r="H82" s="400"/>
    </row>
    <row r="83" spans="1:8" x14ac:dyDescent="0.25">
      <c r="A83" s="237">
        <v>83</v>
      </c>
      <c r="B83" s="532" t="s">
        <v>708</v>
      </c>
      <c r="C83" s="1877"/>
      <c r="D83" s="475"/>
      <c r="E83" s="399"/>
      <c r="F83" s="399"/>
      <c r="G83" s="399"/>
      <c r="H83" s="400"/>
    </row>
    <row r="84" spans="1:8" x14ac:dyDescent="0.25">
      <c r="A84" s="237">
        <v>84</v>
      </c>
      <c r="B84" s="532" t="s">
        <v>709</v>
      </c>
      <c r="C84" s="1877"/>
      <c r="D84" s="475"/>
      <c r="E84" s="399"/>
      <c r="F84" s="399"/>
      <c r="G84" s="399"/>
      <c r="H84" s="400"/>
    </row>
    <row r="85" spans="1:8" x14ac:dyDescent="0.25">
      <c r="A85" s="237">
        <v>85</v>
      </c>
      <c r="B85" s="532" t="s">
        <v>811</v>
      </c>
      <c r="C85" s="1877"/>
      <c r="D85" s="475"/>
      <c r="E85" s="399"/>
      <c r="F85" s="399"/>
      <c r="G85" s="399"/>
      <c r="H85" s="400"/>
    </row>
    <row r="86" spans="1:8" ht="15.75" thickBot="1" x14ac:dyDescent="0.3">
      <c r="A86" s="237">
        <v>86</v>
      </c>
      <c r="B86" s="539" t="s">
        <v>726</v>
      </c>
      <c r="C86" s="544">
        <f>C81+C82+C84+C85</f>
        <v>0</v>
      </c>
      <c r="D86" s="475"/>
      <c r="E86" s="399"/>
      <c r="F86" s="399"/>
      <c r="G86" s="399"/>
      <c r="H86" s="400"/>
    </row>
    <row r="87" spans="1:8" ht="20.100000000000001" customHeight="1" x14ac:dyDescent="0.25">
      <c r="A87" s="237">
        <v>87</v>
      </c>
      <c r="B87" s="1037" t="s">
        <v>1040</v>
      </c>
      <c r="C87" s="545"/>
      <c r="D87" s="475"/>
      <c r="E87" s="399"/>
      <c r="F87" s="399"/>
      <c r="G87" s="399"/>
      <c r="H87" s="400"/>
    </row>
    <row r="88" spans="1:8" ht="31.5" customHeight="1" x14ac:dyDescent="0.25">
      <c r="A88" s="237">
        <v>88</v>
      </c>
      <c r="B88" s="1038" t="s">
        <v>981</v>
      </c>
      <c r="C88" s="1878"/>
      <c r="D88" s="475"/>
      <c r="E88" s="399"/>
      <c r="F88" s="399"/>
      <c r="G88" s="399"/>
      <c r="H88" s="400"/>
    </row>
    <row r="89" spans="1:8" ht="14.45" customHeight="1" x14ac:dyDescent="0.25">
      <c r="A89" s="237">
        <v>89</v>
      </c>
      <c r="B89" s="1038" t="s">
        <v>1115</v>
      </c>
      <c r="C89" s="1878"/>
      <c r="D89" s="475"/>
      <c r="E89" s="399"/>
      <c r="F89" s="399"/>
      <c r="G89" s="399"/>
      <c r="H89" s="400"/>
    </row>
    <row r="90" spans="1:8" ht="14.45" customHeight="1" x14ac:dyDescent="0.25">
      <c r="A90" s="237">
        <v>90</v>
      </c>
      <c r="B90" s="535" t="s">
        <v>1116</v>
      </c>
      <c r="C90" s="546">
        <f>(SUM(C81:C85)+C89)-(C60)</f>
        <v>0</v>
      </c>
      <c r="D90" s="475"/>
      <c r="E90" s="399"/>
      <c r="F90" s="399"/>
      <c r="G90" s="399"/>
      <c r="H90" s="400"/>
    </row>
    <row r="91" spans="1:8" x14ac:dyDescent="0.25">
      <c r="A91" s="237">
        <v>91</v>
      </c>
      <c r="B91" s="548" t="s">
        <v>705</v>
      </c>
      <c r="C91" s="1879"/>
      <c r="D91" s="475"/>
      <c r="E91" s="399"/>
      <c r="F91" s="399"/>
      <c r="G91" s="399"/>
      <c r="H91" s="400"/>
    </row>
    <row r="92" spans="1:8" x14ac:dyDescent="0.25">
      <c r="A92" s="237">
        <v>92</v>
      </c>
      <c r="B92" s="535" t="s">
        <v>1149</v>
      </c>
      <c r="C92" s="547">
        <f>('Income Statement'!G49*1.1)*C91</f>
        <v>0</v>
      </c>
      <c r="D92" s="244"/>
      <c r="E92" s="399"/>
      <c r="F92" s="399"/>
      <c r="G92" s="399"/>
      <c r="H92" s="400"/>
    </row>
    <row r="93" spans="1:8" x14ac:dyDescent="0.25">
      <c r="A93" s="237">
        <v>93</v>
      </c>
      <c r="B93" s="535" t="s">
        <v>813</v>
      </c>
      <c r="C93" s="690">
        <f>('IS Schedules'!D33*C91)</f>
        <v>0</v>
      </c>
      <c r="D93" s="689"/>
      <c r="E93" s="399"/>
      <c r="F93" s="399"/>
      <c r="G93" s="399"/>
      <c r="H93" s="400"/>
    </row>
    <row r="94" spans="1:8" ht="117.6" customHeight="1" thickBot="1" x14ac:dyDescent="0.3">
      <c r="A94" s="237">
        <v>94</v>
      </c>
      <c r="B94" s="1400" t="s">
        <v>1150</v>
      </c>
      <c r="C94" s="1401"/>
      <c r="D94" s="399"/>
      <c r="E94" s="399"/>
      <c r="F94" s="399"/>
      <c r="G94" s="399"/>
      <c r="H94" s="400"/>
    </row>
    <row r="95" spans="1:8" x14ac:dyDescent="0.25">
      <c r="B95" s="414"/>
      <c r="C95" s="399"/>
      <c r="D95" s="399"/>
      <c r="E95" s="399"/>
      <c r="F95" s="399"/>
      <c r="G95" s="399"/>
      <c r="H95" s="400"/>
    </row>
    <row r="96" spans="1:8" x14ac:dyDescent="0.25">
      <c r="B96" s="414"/>
      <c r="C96" s="399"/>
      <c r="D96" s="399"/>
      <c r="E96" s="399"/>
      <c r="F96" s="399"/>
      <c r="G96" s="399"/>
      <c r="H96" s="400"/>
    </row>
  </sheetData>
  <sheetProtection sheet="1" objects="1" scenarios="1" selectLockedCells="1"/>
  <mergeCells count="3">
    <mergeCell ref="B1:C1"/>
    <mergeCell ref="B2:C2"/>
    <mergeCell ref="B94:C94"/>
  </mergeCells>
  <dataValidations count="2">
    <dataValidation type="list" allowBlank="1" showInputMessage="1" showErrorMessage="1" sqref="D6:G7" xr:uid="{80259E1A-A9CC-4A08-BFD0-7491C77C7523}">
      <formula1>"Milk,Corn,Soybeans,Cattle,Other"</formula1>
    </dataValidation>
    <dataValidation type="list" allowBlank="1" showInputMessage="1" showErrorMessage="1" error="You must choose one of the selections from the drop-down menu." sqref="C6:C7" xr:uid="{3CF9474D-D278-418A-B821-BF3C4B51A77E}">
      <formula1>"Milk,Corn,Soybeans,Cattle,Other"</formula1>
    </dataValidation>
  </dataValidations>
  <pageMargins left="0.7" right="0.7" top="0.75" bottom="0.75" header="0.3" footer="0.3"/>
  <pageSetup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P77"/>
  <sheetViews>
    <sheetView showGridLines="0" zoomScaleNormal="100" workbookViewId="0">
      <selection activeCell="E56" sqref="E56"/>
    </sheetView>
  </sheetViews>
  <sheetFormatPr defaultRowHeight="15" x14ac:dyDescent="0.25"/>
  <cols>
    <col min="1" max="1" width="3.5703125" style="55" customWidth="1"/>
    <col min="2" max="2" width="1.5703125" customWidth="1"/>
    <col min="3" max="3" width="18.42578125" customWidth="1"/>
    <col min="4" max="4" width="17.5703125" customWidth="1"/>
    <col min="5" max="5" width="5.28515625" style="142" customWidth="1"/>
    <col min="6" max="6" width="11.85546875" style="134" customWidth="1"/>
    <col min="7" max="7" width="13" style="134" customWidth="1"/>
    <col min="8" max="8" width="12" style="1" customWidth="1"/>
    <col min="9" max="9" width="13.42578125" style="1" customWidth="1"/>
    <col min="10" max="10" width="7.28515625" customWidth="1"/>
    <col min="12" max="12" width="10.28515625" bestFit="1" customWidth="1"/>
  </cols>
  <sheetData>
    <row r="1" spans="1:16" s="195" customFormat="1" ht="98.45" customHeight="1" thickBot="1" x14ac:dyDescent="0.55000000000000004">
      <c r="A1" s="66">
        <v>1</v>
      </c>
      <c r="B1" s="1429" t="s">
        <v>944</v>
      </c>
      <c r="C1" s="1430"/>
      <c r="D1" s="1430"/>
      <c r="E1" s="1430"/>
      <c r="F1" s="1430"/>
      <c r="G1" s="1430"/>
      <c r="H1" s="1430"/>
      <c r="I1" s="1431"/>
      <c r="J1" s="549"/>
      <c r="K1" s="203"/>
    </row>
    <row r="2" spans="1:16" ht="18.600000000000001" customHeight="1" x14ac:dyDescent="0.25">
      <c r="A2" s="66">
        <v>2</v>
      </c>
      <c r="B2" s="1434">
        <f>'Input Sheet'!C4</f>
        <v>0</v>
      </c>
      <c r="C2" s="1435"/>
      <c r="D2" s="1435"/>
      <c r="E2" s="1436"/>
      <c r="F2" s="1432" t="s">
        <v>246</v>
      </c>
      <c r="G2" s="1433"/>
      <c r="H2" s="1432" t="s">
        <v>565</v>
      </c>
      <c r="I2" s="1433"/>
      <c r="J2" s="203"/>
      <c r="M2" s="205"/>
      <c r="N2" s="205"/>
      <c r="O2" s="205"/>
      <c r="P2" s="205"/>
    </row>
    <row r="3" spans="1:16" s="134" customFormat="1" ht="15.75" x14ac:dyDescent="0.25">
      <c r="A3" s="66">
        <v>3</v>
      </c>
      <c r="B3" s="1437"/>
      <c r="C3" s="1438"/>
      <c r="D3" s="1438"/>
      <c r="E3" s="1439"/>
      <c r="F3" s="1169" t="s">
        <v>41</v>
      </c>
      <c r="G3" s="1170">
        <f>'Input Sheet'!C9</f>
        <v>0</v>
      </c>
      <c r="H3" s="1169" t="s">
        <v>41</v>
      </c>
      <c r="I3" s="1170">
        <f>'Input Sheet'!C9-1</f>
        <v>-1</v>
      </c>
      <c r="M3" s="205"/>
      <c r="N3" s="205"/>
      <c r="O3" s="205"/>
      <c r="P3" s="205"/>
    </row>
    <row r="4" spans="1:16" x14ac:dyDescent="0.25">
      <c r="A4" s="66">
        <v>4</v>
      </c>
      <c r="B4" s="1437"/>
      <c r="C4" s="1438"/>
      <c r="D4" s="1438"/>
      <c r="E4" s="1439"/>
      <c r="F4" s="1171" t="s">
        <v>244</v>
      </c>
      <c r="G4" s="1172">
        <f>'Input Sheet'!C8</f>
        <v>0</v>
      </c>
      <c r="H4" s="1193" t="s">
        <v>245</v>
      </c>
      <c r="I4" s="1880"/>
      <c r="J4" s="277"/>
    </row>
    <row r="5" spans="1:16" ht="18.75" x14ac:dyDescent="0.25">
      <c r="A5" s="66">
        <v>5</v>
      </c>
      <c r="B5" s="874" t="s">
        <v>37</v>
      </c>
      <c r="C5" s="876"/>
      <c r="D5" s="877"/>
      <c r="E5" s="865"/>
      <c r="F5" s="1173" t="s">
        <v>81</v>
      </c>
      <c r="G5" s="1174" t="s">
        <v>82</v>
      </c>
      <c r="H5" s="1173" t="s">
        <v>81</v>
      </c>
      <c r="I5" s="1174" t="s">
        <v>82</v>
      </c>
      <c r="J5" s="277"/>
    </row>
    <row r="6" spans="1:16" ht="19.899999999999999" customHeight="1" x14ac:dyDescent="0.25">
      <c r="A6" s="66">
        <v>6</v>
      </c>
      <c r="B6" s="1421" t="s">
        <v>220</v>
      </c>
      <c r="C6" s="1422"/>
      <c r="D6" s="1422"/>
      <c r="E6" s="1196" t="s">
        <v>148</v>
      </c>
      <c r="F6" s="1143"/>
      <c r="G6" s="1175"/>
      <c r="H6" s="1194"/>
      <c r="I6" s="1186"/>
    </row>
    <row r="7" spans="1:16" x14ac:dyDescent="0.25">
      <c r="A7" s="583">
        <v>7</v>
      </c>
      <c r="B7" s="1197"/>
      <c r="C7" s="1423" t="s">
        <v>38</v>
      </c>
      <c r="D7" s="1424"/>
      <c r="E7" s="1137" t="s">
        <v>149</v>
      </c>
      <c r="F7" s="1176">
        <f>'BS Schedules'!G12</f>
        <v>0</v>
      </c>
      <c r="G7" s="527">
        <f>'BS Schedules'!G12</f>
        <v>0</v>
      </c>
      <c r="H7" s="1176">
        <f>'BS Schedules'!R12</f>
        <v>0</v>
      </c>
      <c r="I7" s="527">
        <f>'BS Schedules'!R12</f>
        <v>0</v>
      </c>
    </row>
    <row r="8" spans="1:16" s="142" customFormat="1" x14ac:dyDescent="0.25">
      <c r="A8" s="583">
        <v>8</v>
      </c>
      <c r="B8" s="567"/>
      <c r="C8" s="1425" t="s">
        <v>1077</v>
      </c>
      <c r="D8" s="1426"/>
      <c r="E8" s="1137" t="s">
        <v>149</v>
      </c>
      <c r="F8" s="1177">
        <f>'BS Schedules'!G17</f>
        <v>0</v>
      </c>
      <c r="G8" s="543">
        <f>'BS Schedules'!G17</f>
        <v>0</v>
      </c>
      <c r="H8" s="1176">
        <f>'BS Schedules'!R14</f>
        <v>0</v>
      </c>
      <c r="I8" s="527">
        <f>'BS Schedules'!R14</f>
        <v>0</v>
      </c>
    </row>
    <row r="9" spans="1:16" s="391" customFormat="1" x14ac:dyDescent="0.25">
      <c r="A9" s="583">
        <v>9</v>
      </c>
      <c r="B9" s="567"/>
      <c r="C9" s="1195" t="s">
        <v>847</v>
      </c>
      <c r="D9" s="1138"/>
      <c r="E9" s="1137" t="s">
        <v>149</v>
      </c>
      <c r="F9" s="1177">
        <f>'BS Schedules'!G25</f>
        <v>0</v>
      </c>
      <c r="G9" s="543">
        <f>'BS Schedules'!G25</f>
        <v>0</v>
      </c>
      <c r="H9" s="1176">
        <f>'BS Schedules'!R25</f>
        <v>0</v>
      </c>
      <c r="I9" s="527">
        <f>'BS Schedules'!R25</f>
        <v>0</v>
      </c>
    </row>
    <row r="10" spans="1:16" x14ac:dyDescent="0.25">
      <c r="A10" s="583">
        <v>10</v>
      </c>
      <c r="B10" s="567"/>
      <c r="C10" s="1425" t="s">
        <v>164</v>
      </c>
      <c r="D10" s="1426"/>
      <c r="E10" s="1139" t="s">
        <v>71</v>
      </c>
      <c r="F10" s="1177">
        <f>'BS Schedules'!E36</f>
        <v>0</v>
      </c>
      <c r="G10" s="543">
        <f>'BS Schedules'!G36</f>
        <v>0</v>
      </c>
      <c r="H10" s="1176">
        <f>'BS Schedules'!P36</f>
        <v>0</v>
      </c>
      <c r="I10" s="527">
        <f>'BS Schedules'!R36</f>
        <v>0</v>
      </c>
    </row>
    <row r="11" spans="1:16" x14ac:dyDescent="0.25">
      <c r="A11" s="583">
        <v>11</v>
      </c>
      <c r="B11" s="567"/>
      <c r="C11" s="1427" t="s">
        <v>172</v>
      </c>
      <c r="D11" s="1428"/>
      <c r="E11" s="1139" t="s">
        <v>150</v>
      </c>
      <c r="F11" s="1177">
        <f>'BS Schedules'!E48</f>
        <v>0</v>
      </c>
      <c r="G11" s="543">
        <f>'BS Schedules'!E48</f>
        <v>0</v>
      </c>
      <c r="H11" s="1176">
        <f>'BS Schedules'!P48</f>
        <v>0</v>
      </c>
      <c r="I11" s="527">
        <f>'BS Schedules'!P48</f>
        <v>0</v>
      </c>
    </row>
    <row r="12" spans="1:16" x14ac:dyDescent="0.25">
      <c r="A12" s="583">
        <v>12</v>
      </c>
      <c r="B12" s="567"/>
      <c r="C12" s="1427" t="s">
        <v>824</v>
      </c>
      <c r="D12" s="1428"/>
      <c r="E12" s="1139" t="s">
        <v>151</v>
      </c>
      <c r="F12" s="1177">
        <f>'BS Schedules'!F85</f>
        <v>0</v>
      </c>
      <c r="G12" s="543">
        <f>'BS Schedules'!G85</f>
        <v>0</v>
      </c>
      <c r="H12" s="1176">
        <f>'BS Schedules'!Q85</f>
        <v>0</v>
      </c>
      <c r="I12" s="527">
        <f>'BS Schedules'!R85</f>
        <v>0</v>
      </c>
    </row>
    <row r="13" spans="1:16" s="77" customFormat="1" x14ac:dyDescent="0.25">
      <c r="A13" s="583">
        <v>13</v>
      </c>
      <c r="B13" s="567"/>
      <c r="C13" s="1425" t="s">
        <v>867</v>
      </c>
      <c r="D13" s="1426"/>
      <c r="E13" s="1139" t="s">
        <v>152</v>
      </c>
      <c r="F13" s="1177">
        <f>'BS Schedules'!F119</f>
        <v>0</v>
      </c>
      <c r="G13" s="543">
        <f>'BS Schedules'!G119</f>
        <v>0</v>
      </c>
      <c r="H13" s="1176">
        <f>'BS Schedules'!Q119</f>
        <v>0</v>
      </c>
      <c r="I13" s="527">
        <f>'BS Schedules'!R119</f>
        <v>0</v>
      </c>
    </row>
    <row r="14" spans="1:16" x14ac:dyDescent="0.25">
      <c r="A14" s="583">
        <v>14</v>
      </c>
      <c r="B14" s="567"/>
      <c r="C14" s="1425" t="s">
        <v>165</v>
      </c>
      <c r="D14" s="1426"/>
      <c r="E14" s="1139" t="s">
        <v>153</v>
      </c>
      <c r="F14" s="1176">
        <f>'BS Schedules'!E132</f>
        <v>0</v>
      </c>
      <c r="G14" s="527">
        <f>'BS Schedules'!F132</f>
        <v>0</v>
      </c>
      <c r="H14" s="1176">
        <f>'BS Schedules'!P132</f>
        <v>0</v>
      </c>
      <c r="I14" s="527">
        <f>'BS Schedules'!Q132</f>
        <v>0</v>
      </c>
    </row>
    <row r="15" spans="1:16" x14ac:dyDescent="0.25">
      <c r="A15" s="583">
        <v>15</v>
      </c>
      <c r="B15" s="567"/>
      <c r="C15" s="1417" t="s">
        <v>2</v>
      </c>
      <c r="D15" s="1418"/>
      <c r="E15" s="1140"/>
      <c r="F15" s="1178">
        <f>SUM(F7:F14)</f>
        <v>0</v>
      </c>
      <c r="G15" s="1179">
        <f>SUM(G7:G14)</f>
        <v>0</v>
      </c>
      <c r="H15" s="1178">
        <f>SUM(H7:H14)</f>
        <v>0</v>
      </c>
      <c r="I15" s="1179">
        <f>SUM(I7:I14)</f>
        <v>0</v>
      </c>
    </row>
    <row r="16" spans="1:16" s="86" customFormat="1" ht="19.899999999999999" customHeight="1" x14ac:dyDescent="0.25">
      <c r="A16" s="583">
        <v>16</v>
      </c>
      <c r="B16" s="1448" t="s">
        <v>1041</v>
      </c>
      <c r="C16" s="1449"/>
      <c r="D16" s="1450"/>
      <c r="E16" s="1199" t="s">
        <v>148</v>
      </c>
      <c r="F16" s="1180"/>
      <c r="G16" s="1181"/>
      <c r="H16" s="1180"/>
      <c r="I16" s="1181"/>
    </row>
    <row r="17" spans="1:12" s="86" customFormat="1" x14ac:dyDescent="0.25">
      <c r="A17" s="583">
        <v>17</v>
      </c>
      <c r="B17" s="1197"/>
      <c r="C17" s="1415" t="s">
        <v>85</v>
      </c>
      <c r="D17" s="1416"/>
      <c r="E17" s="1139" t="s">
        <v>154</v>
      </c>
      <c r="F17" s="1177">
        <f>'BS Schedules'!H145</f>
        <v>0</v>
      </c>
      <c r="G17" s="543">
        <f>'BS Schedules'!I145</f>
        <v>0</v>
      </c>
      <c r="H17" s="1176">
        <f>'BS Schedules'!S145</f>
        <v>0</v>
      </c>
      <c r="I17" s="527">
        <f>'BS Schedules'!T145</f>
        <v>0</v>
      </c>
    </row>
    <row r="18" spans="1:12" s="86" customFormat="1" x14ac:dyDescent="0.25">
      <c r="A18" s="583">
        <v>18</v>
      </c>
      <c r="B18" s="567"/>
      <c r="C18" s="1415" t="s">
        <v>86</v>
      </c>
      <c r="D18" s="1416"/>
      <c r="E18" s="1139" t="s">
        <v>155</v>
      </c>
      <c r="F18" s="1177">
        <f>'BS Schedules'!F159</f>
        <v>0</v>
      </c>
      <c r="G18" s="543">
        <f>'BS Schedules'!H159</f>
        <v>0</v>
      </c>
      <c r="H18" s="1176">
        <f>'BS Schedules'!Q159</f>
        <v>0</v>
      </c>
      <c r="I18" s="527">
        <f>'BS Schedules'!S159</f>
        <v>0</v>
      </c>
    </row>
    <row r="19" spans="1:12" s="86" customFormat="1" x14ac:dyDescent="0.25">
      <c r="A19" s="583">
        <v>19</v>
      </c>
      <c r="B19" s="567"/>
      <c r="C19" s="1411" t="s">
        <v>166</v>
      </c>
      <c r="D19" s="1412"/>
      <c r="E19" s="1137" t="s">
        <v>156</v>
      </c>
      <c r="F19" s="1177">
        <f>'BS Schedules'!F170</f>
        <v>0</v>
      </c>
      <c r="G19" s="543">
        <f>'BS Schedules'!G170</f>
        <v>0</v>
      </c>
      <c r="H19" s="1176">
        <f>'BS Schedules'!Q170</f>
        <v>0</v>
      </c>
      <c r="I19" s="527">
        <f>'BS Schedules'!R170</f>
        <v>0</v>
      </c>
    </row>
    <row r="20" spans="1:12" s="86" customFormat="1" x14ac:dyDescent="0.25">
      <c r="A20" s="583">
        <v>20</v>
      </c>
      <c r="B20" s="567"/>
      <c r="C20" s="1409" t="s">
        <v>167</v>
      </c>
      <c r="D20" s="1410"/>
      <c r="E20" s="1139" t="s">
        <v>150</v>
      </c>
      <c r="F20" s="1176">
        <f>'BS Schedules'!G48</f>
        <v>0</v>
      </c>
      <c r="G20" s="527">
        <f>'BS Schedules'!G48</f>
        <v>0</v>
      </c>
      <c r="H20" s="1176">
        <f>'BS Schedules'!R48</f>
        <v>0</v>
      </c>
      <c r="I20" s="527">
        <f>'BS Schedules'!R48</f>
        <v>0</v>
      </c>
    </row>
    <row r="21" spans="1:12" s="121" customFormat="1" x14ac:dyDescent="0.25">
      <c r="A21" s="583">
        <v>21</v>
      </c>
      <c r="B21" s="567"/>
      <c r="C21" s="1409" t="s">
        <v>168</v>
      </c>
      <c r="D21" s="1410"/>
      <c r="E21" s="1139" t="s">
        <v>157</v>
      </c>
      <c r="F21" s="1176">
        <f>'BS Schedules'!D210</f>
        <v>0</v>
      </c>
      <c r="G21" s="527">
        <f>'BS Schedules'!D210</f>
        <v>0</v>
      </c>
      <c r="H21" s="1176">
        <f>'BS Schedules'!O210</f>
        <v>0</v>
      </c>
      <c r="I21" s="527">
        <f>'BS Schedules'!O210</f>
        <v>0</v>
      </c>
    </row>
    <row r="22" spans="1:12" s="152" customFormat="1" x14ac:dyDescent="0.25">
      <c r="A22" s="583">
        <v>22</v>
      </c>
      <c r="B22" s="567"/>
      <c r="C22" s="1409" t="s">
        <v>225</v>
      </c>
      <c r="D22" s="1410"/>
      <c r="E22" s="1139" t="s">
        <v>158</v>
      </c>
      <c r="F22" s="1176">
        <f>'BS Schedules'!E222</f>
        <v>0</v>
      </c>
      <c r="G22" s="527">
        <f>'BS Schedules'!F222</f>
        <v>0</v>
      </c>
      <c r="H22" s="1176">
        <f>'BS Schedules'!P222</f>
        <v>0</v>
      </c>
      <c r="I22" s="527">
        <f>'BS Schedules'!Q222</f>
        <v>0</v>
      </c>
    </row>
    <row r="23" spans="1:12" s="86" customFormat="1" x14ac:dyDescent="0.25">
      <c r="A23" s="583">
        <v>23</v>
      </c>
      <c r="B23" s="567"/>
      <c r="C23" s="1453" t="s">
        <v>223</v>
      </c>
      <c r="D23" s="1454"/>
      <c r="E23" s="1137" t="s">
        <v>158</v>
      </c>
      <c r="F23" s="1176">
        <f>'BS Schedules'!E235</f>
        <v>0</v>
      </c>
      <c r="G23" s="527">
        <f>'BS Schedules'!F235</f>
        <v>0</v>
      </c>
      <c r="H23" s="1176">
        <f>'BS Schedules'!P235</f>
        <v>0</v>
      </c>
      <c r="I23" s="527">
        <f>'BS Schedules'!Q235</f>
        <v>0</v>
      </c>
    </row>
    <row r="24" spans="1:12" x14ac:dyDescent="0.25">
      <c r="A24" s="583">
        <v>24</v>
      </c>
      <c r="B24" s="1198"/>
      <c r="C24" s="1417" t="s">
        <v>72</v>
      </c>
      <c r="D24" s="1418"/>
      <c r="E24" s="1142"/>
      <c r="F24" s="1178">
        <f>SUM(F17:F23)</f>
        <v>0</v>
      </c>
      <c r="G24" s="1179">
        <f t="shared" ref="G24:I24" si="0">SUM(G17:G23)</f>
        <v>0</v>
      </c>
      <c r="H24" s="1178">
        <f t="shared" si="0"/>
        <v>0</v>
      </c>
      <c r="I24" s="1179">
        <f t="shared" si="0"/>
        <v>0</v>
      </c>
    </row>
    <row r="25" spans="1:12" ht="19.899999999999999" customHeight="1" x14ac:dyDescent="0.25">
      <c r="A25" s="583">
        <v>25</v>
      </c>
      <c r="B25" s="878" t="s">
        <v>221</v>
      </c>
      <c r="C25" s="1203"/>
      <c r="D25" s="1204"/>
      <c r="E25" s="1205" t="s">
        <v>148</v>
      </c>
      <c r="F25" s="1180"/>
      <c r="G25" s="1181"/>
      <c r="H25" s="1180"/>
      <c r="I25" s="1181"/>
    </row>
    <row r="26" spans="1:12" x14ac:dyDescent="0.25">
      <c r="A26" s="583">
        <v>26</v>
      </c>
      <c r="B26" s="1197"/>
      <c r="C26" s="1411" t="s">
        <v>627</v>
      </c>
      <c r="D26" s="1412"/>
      <c r="E26" s="1137" t="s">
        <v>159</v>
      </c>
      <c r="F26" s="1176">
        <f>'BS Schedules'!G178</f>
        <v>0</v>
      </c>
      <c r="G26" s="527">
        <f>'BS Schedules'!I178</f>
        <v>0</v>
      </c>
      <c r="H26" s="1176">
        <f>'BS Schedules'!R178</f>
        <v>0</v>
      </c>
      <c r="I26" s="527">
        <f>'BS Schedules'!T178</f>
        <v>0</v>
      </c>
    </row>
    <row r="27" spans="1:12" x14ac:dyDescent="0.25">
      <c r="A27" s="583">
        <v>27</v>
      </c>
      <c r="B27" s="567"/>
      <c r="C27" s="1409" t="s">
        <v>628</v>
      </c>
      <c r="D27" s="1410"/>
      <c r="E27" s="1139" t="s">
        <v>159</v>
      </c>
      <c r="F27" s="1177">
        <f>'BS Schedules'!G189</f>
        <v>0</v>
      </c>
      <c r="G27" s="543">
        <f>'BS Schedules'!I189</f>
        <v>0</v>
      </c>
      <c r="H27" s="1176">
        <f>'BS Schedules'!R189</f>
        <v>0</v>
      </c>
      <c r="I27" s="527">
        <f>'BS Schedules'!T189</f>
        <v>0</v>
      </c>
    </row>
    <row r="28" spans="1:12" x14ac:dyDescent="0.25">
      <c r="A28" s="583">
        <v>28</v>
      </c>
      <c r="B28" s="567"/>
      <c r="C28" s="1409" t="s">
        <v>629</v>
      </c>
      <c r="D28" s="1410"/>
      <c r="E28" s="1139" t="s">
        <v>159</v>
      </c>
      <c r="F28" s="1177">
        <f>'BS Schedules'!G197</f>
        <v>0</v>
      </c>
      <c r="G28" s="543">
        <f>'BS Schedules'!I197</f>
        <v>0</v>
      </c>
      <c r="H28" s="1176">
        <f>'BS Schedules'!R197</f>
        <v>0</v>
      </c>
      <c r="I28" s="527">
        <f>'BS Schedules'!T197</f>
        <v>0</v>
      </c>
    </row>
    <row r="29" spans="1:12" x14ac:dyDescent="0.25">
      <c r="A29" s="583">
        <v>29</v>
      </c>
      <c r="B29" s="1200"/>
      <c r="C29" s="1409" t="s">
        <v>222</v>
      </c>
      <c r="D29" s="1410"/>
      <c r="E29" s="1137" t="s">
        <v>150</v>
      </c>
      <c r="F29" s="1176">
        <f>'BS Schedules'!H48</f>
        <v>0</v>
      </c>
      <c r="G29" s="527">
        <f>'BS Schedules'!H48</f>
        <v>0</v>
      </c>
      <c r="H29" s="1176">
        <f>'BS Schedules'!S48</f>
        <v>0</v>
      </c>
      <c r="I29" s="527">
        <f>'BS Schedules'!S48</f>
        <v>0</v>
      </c>
    </row>
    <row r="30" spans="1:12" s="204" customFormat="1" x14ac:dyDescent="0.25">
      <c r="A30" s="583">
        <v>30</v>
      </c>
      <c r="B30" s="1200"/>
      <c r="C30" s="1154" t="s">
        <v>224</v>
      </c>
      <c r="D30" s="1144"/>
      <c r="E30" s="1137" t="s">
        <v>158</v>
      </c>
      <c r="F30" s="1176">
        <f>'BS Schedules'!G222</f>
        <v>0</v>
      </c>
      <c r="G30" s="527">
        <f>'BS Schedules'!H222</f>
        <v>0</v>
      </c>
      <c r="H30" s="1176">
        <f>'BS Schedules'!R222</f>
        <v>0</v>
      </c>
      <c r="I30" s="527">
        <f>'BS Schedules'!S222</f>
        <v>0</v>
      </c>
    </row>
    <row r="31" spans="1:12" x14ac:dyDescent="0.25">
      <c r="A31" s="583">
        <v>31</v>
      </c>
      <c r="B31" s="1200"/>
      <c r="C31" s="1455" t="s">
        <v>226</v>
      </c>
      <c r="D31" s="1456"/>
      <c r="E31" s="1137" t="s">
        <v>158</v>
      </c>
      <c r="F31" s="1176">
        <f>'BS Schedules'!G235</f>
        <v>0</v>
      </c>
      <c r="G31" s="527">
        <f>'BS Schedules'!H235</f>
        <v>0</v>
      </c>
      <c r="H31" s="1176">
        <f>'BS Schedules'!R235</f>
        <v>0</v>
      </c>
      <c r="I31" s="527">
        <f>'BS Schedules'!S235</f>
        <v>0</v>
      </c>
    </row>
    <row r="32" spans="1:12" x14ac:dyDescent="0.25">
      <c r="A32" s="583">
        <v>32</v>
      </c>
      <c r="B32" s="1200"/>
      <c r="C32" s="1417" t="s">
        <v>77</v>
      </c>
      <c r="D32" s="1418"/>
      <c r="E32" s="1142"/>
      <c r="F32" s="1182">
        <f>SUM(F26:F31)</f>
        <v>0</v>
      </c>
      <c r="G32" s="1183">
        <f t="shared" ref="G32:I32" si="1">SUM(G26:G31)</f>
        <v>0</v>
      </c>
      <c r="H32" s="1182">
        <f t="shared" si="1"/>
        <v>0</v>
      </c>
      <c r="I32" s="1183">
        <f t="shared" si="1"/>
        <v>0</v>
      </c>
      <c r="L32" s="11"/>
    </row>
    <row r="33" spans="1:9" s="38" customFormat="1" ht="19.899999999999999" customHeight="1" x14ac:dyDescent="0.25">
      <c r="A33" s="583">
        <v>33</v>
      </c>
      <c r="B33" s="1201"/>
      <c r="C33" s="1451" t="s">
        <v>5</v>
      </c>
      <c r="D33" s="1452"/>
      <c r="E33" s="1145"/>
      <c r="F33" s="1184">
        <f>F15+F24+F32</f>
        <v>0</v>
      </c>
      <c r="G33" s="1185">
        <f>G15+G24+G32</f>
        <v>0</v>
      </c>
      <c r="H33" s="1184">
        <f>H15+H24+H32</f>
        <v>0</v>
      </c>
      <c r="I33" s="1185">
        <f>I15+I24+I32</f>
        <v>0</v>
      </c>
    </row>
    <row r="34" spans="1:9" ht="18.75" x14ac:dyDescent="0.25">
      <c r="A34" s="583">
        <v>34</v>
      </c>
      <c r="B34" s="1202" t="s">
        <v>39</v>
      </c>
      <c r="C34" s="1207"/>
      <c r="D34" s="1206"/>
      <c r="E34" s="1146"/>
      <c r="F34" s="1173" t="s">
        <v>81</v>
      </c>
      <c r="G34" s="1174" t="s">
        <v>82</v>
      </c>
      <c r="H34" s="1173" t="s">
        <v>81</v>
      </c>
      <c r="I34" s="1174" t="s">
        <v>82</v>
      </c>
    </row>
    <row r="35" spans="1:9" ht="19.899999999999999" customHeight="1" x14ac:dyDescent="0.25">
      <c r="A35" s="583">
        <v>35</v>
      </c>
      <c r="B35" s="1208" t="s">
        <v>76</v>
      </c>
      <c r="C35" s="1203"/>
      <c r="D35" s="1204"/>
      <c r="E35" s="1205" t="s">
        <v>148</v>
      </c>
      <c r="F35" s="1180"/>
      <c r="G35" s="1186"/>
      <c r="H35" s="1180"/>
      <c r="I35" s="1186"/>
    </row>
    <row r="36" spans="1:9" ht="14.85" customHeight="1" x14ac:dyDescent="0.25">
      <c r="A36" s="583">
        <v>36</v>
      </c>
      <c r="B36" s="567"/>
      <c r="C36" s="1413" t="s">
        <v>169</v>
      </c>
      <c r="D36" s="1414"/>
      <c r="E36" s="1147" t="s">
        <v>160</v>
      </c>
      <c r="F36" s="1177">
        <f>'BS Schedules'!G260</f>
        <v>0</v>
      </c>
      <c r="G36" s="543">
        <f>'BS Schedules'!G260</f>
        <v>0</v>
      </c>
      <c r="H36" s="1176">
        <f>'BS Schedules'!R260</f>
        <v>0</v>
      </c>
      <c r="I36" s="527">
        <f>'BS Schedules'!R260</f>
        <v>0</v>
      </c>
    </row>
    <row r="37" spans="1:9" ht="14.85" customHeight="1" x14ac:dyDescent="0.25">
      <c r="A37" s="583">
        <v>37</v>
      </c>
      <c r="B37" s="567"/>
      <c r="C37" s="1419" t="s">
        <v>739</v>
      </c>
      <c r="D37" s="1420"/>
      <c r="E37" s="1147" t="s">
        <v>160</v>
      </c>
      <c r="F37" s="1177">
        <f>'BS Schedules'!G269</f>
        <v>0</v>
      </c>
      <c r="G37" s="543">
        <f>'BS Schedules'!G269</f>
        <v>0</v>
      </c>
      <c r="H37" s="1176">
        <f>'BS Schedules'!R269</f>
        <v>0</v>
      </c>
      <c r="I37" s="527">
        <f>'BS Schedules'!R269</f>
        <v>0</v>
      </c>
    </row>
    <row r="38" spans="1:9" ht="14.85" customHeight="1" x14ac:dyDescent="0.25">
      <c r="A38" s="583">
        <v>38</v>
      </c>
      <c r="B38" s="567"/>
      <c r="C38" s="1415" t="s">
        <v>738</v>
      </c>
      <c r="D38" s="1416"/>
      <c r="E38" s="1148" t="s">
        <v>160</v>
      </c>
      <c r="F38" s="1177">
        <f>'BS Schedules'!G292</f>
        <v>0</v>
      </c>
      <c r="G38" s="543">
        <f>'BS Schedules'!G292</f>
        <v>0</v>
      </c>
      <c r="H38" s="1176">
        <f>'BS Schedules'!R292</f>
        <v>0</v>
      </c>
      <c r="I38" s="527">
        <f>'BS Schedules'!R292</f>
        <v>0</v>
      </c>
    </row>
    <row r="39" spans="1:9" s="121" customFormat="1" ht="14.85" customHeight="1" x14ac:dyDescent="0.25">
      <c r="A39" s="583">
        <v>39</v>
      </c>
      <c r="B39" s="567"/>
      <c r="C39" s="1415" t="s">
        <v>174</v>
      </c>
      <c r="D39" s="1416"/>
      <c r="E39" s="1148" t="s">
        <v>157</v>
      </c>
      <c r="F39" s="1177">
        <f>'BS Schedules'!E210</f>
        <v>0</v>
      </c>
      <c r="G39" s="543">
        <f>'BS Schedules'!E210</f>
        <v>0</v>
      </c>
      <c r="H39" s="1176">
        <f>'BS Schedules'!P210</f>
        <v>0</v>
      </c>
      <c r="I39" s="527">
        <f>'BS Schedules'!P210</f>
        <v>0</v>
      </c>
    </row>
    <row r="40" spans="1:9" s="68" customFormat="1" ht="14.85" customHeight="1" x14ac:dyDescent="0.25">
      <c r="A40" s="583">
        <v>40</v>
      </c>
      <c r="B40" s="567"/>
      <c r="C40" s="1415" t="s">
        <v>927</v>
      </c>
      <c r="D40" s="1416"/>
      <c r="E40" s="1148" t="s">
        <v>160</v>
      </c>
      <c r="F40" s="1177">
        <f>'BS Schedules'!F268</f>
        <v>0</v>
      </c>
      <c r="G40" s="543">
        <f>'BS Schedules'!F268</f>
        <v>0</v>
      </c>
      <c r="H40" s="1176">
        <f>'BS Schedules'!Q268</f>
        <v>0</v>
      </c>
      <c r="I40" s="527">
        <f>'BS Schedules'!Q268</f>
        <v>0</v>
      </c>
    </row>
    <row r="41" spans="1:9" s="135" customFormat="1" ht="14.85" customHeight="1" x14ac:dyDescent="0.25">
      <c r="A41" s="583">
        <v>41</v>
      </c>
      <c r="B41" s="567"/>
      <c r="C41" s="1415" t="s">
        <v>630</v>
      </c>
      <c r="D41" s="1416"/>
      <c r="E41" s="1148" t="s">
        <v>160</v>
      </c>
      <c r="F41" s="1177">
        <f>'BS Schedules'!F292</f>
        <v>0</v>
      </c>
      <c r="G41" s="543">
        <f>'BS Schedules'!F292</f>
        <v>0</v>
      </c>
      <c r="H41" s="1176">
        <f>'BS Schedules'!Q292</f>
        <v>0</v>
      </c>
      <c r="I41" s="527">
        <f>'BS Schedules'!Q292</f>
        <v>0</v>
      </c>
    </row>
    <row r="42" spans="1:9" s="135" customFormat="1" ht="14.85" customHeight="1" x14ac:dyDescent="0.25">
      <c r="A42" s="583">
        <v>42</v>
      </c>
      <c r="B42" s="567"/>
      <c r="C42" s="1415" t="s">
        <v>175</v>
      </c>
      <c r="D42" s="1416"/>
      <c r="E42" s="1148" t="s">
        <v>157</v>
      </c>
      <c r="F42" s="1177">
        <f>'BS Schedules'!F210</f>
        <v>0</v>
      </c>
      <c r="G42" s="543">
        <f>'BS Schedules'!F210</f>
        <v>0</v>
      </c>
      <c r="H42" s="1176">
        <f>'BS Schedules'!Q210</f>
        <v>0</v>
      </c>
      <c r="I42" s="527">
        <f>'BS Schedules'!Q210</f>
        <v>0</v>
      </c>
    </row>
    <row r="43" spans="1:9" x14ac:dyDescent="0.25">
      <c r="A43" s="583">
        <v>43</v>
      </c>
      <c r="B43" s="567"/>
      <c r="C43" s="1411" t="s">
        <v>52</v>
      </c>
      <c r="D43" s="1412"/>
      <c r="E43" s="1149" t="s">
        <v>161</v>
      </c>
      <c r="F43" s="1177">
        <f>'BS Schedules'!D311</f>
        <v>0</v>
      </c>
      <c r="G43" s="543">
        <f>'BS Schedules'!D311</f>
        <v>0</v>
      </c>
      <c r="H43" s="1176">
        <f>'BS Schedules'!O311</f>
        <v>0</v>
      </c>
      <c r="I43" s="527">
        <f>'BS Schedules'!O311</f>
        <v>0</v>
      </c>
    </row>
    <row r="44" spans="1:9" s="121" customFormat="1" ht="15" customHeight="1" x14ac:dyDescent="0.25">
      <c r="A44" s="583">
        <v>44</v>
      </c>
      <c r="B44" s="567"/>
      <c r="C44" s="1413" t="s">
        <v>55</v>
      </c>
      <c r="D44" s="1414"/>
      <c r="E44" s="1147" t="s">
        <v>162</v>
      </c>
      <c r="F44" s="1176">
        <f>'BS Schedules'!I306</f>
        <v>0</v>
      </c>
      <c r="G44" s="527">
        <f>'BS Schedules'!I306</f>
        <v>0</v>
      </c>
      <c r="H44" s="1176">
        <f>'BS Schedules'!T306</f>
        <v>0</v>
      </c>
      <c r="I44" s="527">
        <f>'BS Schedules'!T306</f>
        <v>0</v>
      </c>
    </row>
    <row r="45" spans="1:9" s="121" customFormat="1" ht="15" customHeight="1" x14ac:dyDescent="0.25">
      <c r="A45" s="583">
        <v>45</v>
      </c>
      <c r="B45" s="567"/>
      <c r="C45" s="1413" t="s">
        <v>54</v>
      </c>
      <c r="D45" s="1414"/>
      <c r="E45" s="1147" t="s">
        <v>162</v>
      </c>
      <c r="F45" s="1176">
        <f>'BS Schedules'!I311</f>
        <v>0</v>
      </c>
      <c r="G45" s="527">
        <f>'BS Schedules'!I311</f>
        <v>0</v>
      </c>
      <c r="H45" s="1176">
        <f>'BS Schedules'!T311</f>
        <v>0</v>
      </c>
      <c r="I45" s="527">
        <f>'BS Schedules'!T311</f>
        <v>0</v>
      </c>
    </row>
    <row r="46" spans="1:9" x14ac:dyDescent="0.25">
      <c r="A46" s="583">
        <v>46</v>
      </c>
      <c r="B46" s="567"/>
      <c r="C46" s="1411" t="s">
        <v>170</v>
      </c>
      <c r="D46" s="1412"/>
      <c r="E46" s="1149" t="s">
        <v>163</v>
      </c>
      <c r="F46" s="1176">
        <f>'BS Schedules'!D329</f>
        <v>0</v>
      </c>
      <c r="G46" s="527">
        <f>'BS Schedules'!D329</f>
        <v>0</v>
      </c>
      <c r="H46" s="1176">
        <f>'BS Schedules'!O329</f>
        <v>0</v>
      </c>
      <c r="I46" s="527">
        <f>'BS Schedules'!O329</f>
        <v>0</v>
      </c>
    </row>
    <row r="47" spans="1:9" x14ac:dyDescent="0.25">
      <c r="A47" s="583">
        <v>47</v>
      </c>
      <c r="B47" s="1198"/>
      <c r="C47" s="1209"/>
      <c r="D47" s="1210" t="s">
        <v>4</v>
      </c>
      <c r="E47" s="1211"/>
      <c r="F47" s="1178">
        <f>SUM(F36:F46)</f>
        <v>0</v>
      </c>
      <c r="G47" s="1179">
        <f t="shared" ref="G47:I47" si="2">SUM(G36:G46)</f>
        <v>0</v>
      </c>
      <c r="H47" s="1178">
        <f t="shared" si="2"/>
        <v>0</v>
      </c>
      <c r="I47" s="1179">
        <f t="shared" si="2"/>
        <v>0</v>
      </c>
    </row>
    <row r="48" spans="1:9" ht="19.899999999999999" customHeight="1" x14ac:dyDescent="0.25">
      <c r="A48" s="583">
        <v>48</v>
      </c>
      <c r="B48" s="1208" t="s">
        <v>73</v>
      </c>
      <c r="C48" s="1213"/>
      <c r="D48" s="1214"/>
      <c r="E48" s="1141" t="s">
        <v>148</v>
      </c>
      <c r="F48" s="1180"/>
      <c r="G48" s="1181"/>
      <c r="H48" s="1180"/>
      <c r="I48" s="1181"/>
    </row>
    <row r="49" spans="1:9" x14ac:dyDescent="0.25">
      <c r="A49" s="981">
        <v>49</v>
      </c>
      <c r="B49" s="567"/>
      <c r="C49" s="1415" t="s">
        <v>1046</v>
      </c>
      <c r="D49" s="1416"/>
      <c r="E49" s="1212" t="s">
        <v>160</v>
      </c>
      <c r="F49" s="1177">
        <f>'BS Schedules'!H284</f>
        <v>0</v>
      </c>
      <c r="G49" s="543">
        <f>'BS Schedules'!H284</f>
        <v>0</v>
      </c>
      <c r="H49" s="1176">
        <f>'BS Schedules'!S284</f>
        <v>0</v>
      </c>
      <c r="I49" s="527">
        <f>'BS Schedules'!S284</f>
        <v>0</v>
      </c>
    </row>
    <row r="50" spans="1:9" s="121" customFormat="1" x14ac:dyDescent="0.25">
      <c r="A50" s="981">
        <v>50</v>
      </c>
      <c r="B50" s="567"/>
      <c r="C50" s="1415" t="s">
        <v>183</v>
      </c>
      <c r="D50" s="1416"/>
      <c r="E50" s="1148" t="s">
        <v>157</v>
      </c>
      <c r="F50" s="1176">
        <f>'BS Schedules'!G210</f>
        <v>0</v>
      </c>
      <c r="G50" s="527">
        <f>'BS Schedules'!G210</f>
        <v>0</v>
      </c>
      <c r="H50" s="1176">
        <f>'BS Schedules'!R210</f>
        <v>0</v>
      </c>
      <c r="I50" s="527">
        <f>'BS Schedules'!R210</f>
        <v>0</v>
      </c>
    </row>
    <row r="51" spans="1:9" x14ac:dyDescent="0.25">
      <c r="A51" s="981">
        <v>51</v>
      </c>
      <c r="B51" s="567"/>
      <c r="C51" s="1411" t="s">
        <v>632</v>
      </c>
      <c r="D51" s="1412"/>
      <c r="E51" s="1149" t="s">
        <v>163</v>
      </c>
      <c r="F51" s="1176">
        <f>'BS Schedules'!E329</f>
        <v>0</v>
      </c>
      <c r="G51" s="527">
        <f>'BS Schedules'!E329</f>
        <v>0</v>
      </c>
      <c r="H51" s="1176">
        <f>'BS Schedules'!P329</f>
        <v>0</v>
      </c>
      <c r="I51" s="527">
        <f>'BS Schedules'!P329</f>
        <v>0</v>
      </c>
    </row>
    <row r="52" spans="1:9" s="86" customFormat="1" x14ac:dyDescent="0.25">
      <c r="A52" s="981">
        <v>52</v>
      </c>
      <c r="B52" s="1215"/>
      <c r="C52" s="1209"/>
      <c r="D52" s="1210" t="s">
        <v>75</v>
      </c>
      <c r="E52" s="1211"/>
      <c r="F52" s="1178">
        <f>SUM(F49:F51)</f>
        <v>0</v>
      </c>
      <c r="G52" s="1179">
        <f>SUM(G49:G51)</f>
        <v>0</v>
      </c>
      <c r="H52" s="1178">
        <f>SUM(H49:H51)</f>
        <v>0</v>
      </c>
      <c r="I52" s="1179">
        <f>SUM(I49:I51)</f>
        <v>0</v>
      </c>
    </row>
    <row r="53" spans="1:9" s="86" customFormat="1" ht="19.899999999999999" customHeight="1" x14ac:dyDescent="0.25">
      <c r="A53" s="981">
        <v>53</v>
      </c>
      <c r="B53" s="1216" t="s">
        <v>74</v>
      </c>
      <c r="C53" s="1217"/>
      <c r="D53" s="1218"/>
      <c r="E53" s="1219" t="s">
        <v>148</v>
      </c>
      <c r="F53" s="1180"/>
      <c r="G53" s="1181"/>
      <c r="H53" s="1180"/>
      <c r="I53" s="1181"/>
    </row>
    <row r="54" spans="1:9" s="86" customFormat="1" x14ac:dyDescent="0.25">
      <c r="A54" s="981">
        <v>54</v>
      </c>
      <c r="B54" s="567"/>
      <c r="C54" s="1415" t="s">
        <v>171</v>
      </c>
      <c r="D54" s="1416"/>
      <c r="E54" s="1148" t="s">
        <v>160</v>
      </c>
      <c r="F54" s="1177">
        <f>'BS Schedules'!H292</f>
        <v>0</v>
      </c>
      <c r="G54" s="543">
        <f>'BS Schedules'!H292</f>
        <v>0</v>
      </c>
      <c r="H54" s="1176">
        <f>'BS Schedules'!S292</f>
        <v>0</v>
      </c>
      <c r="I54" s="527">
        <f>'BS Schedules'!S292</f>
        <v>0</v>
      </c>
    </row>
    <row r="55" spans="1:9" s="86" customFormat="1" x14ac:dyDescent="0.25">
      <c r="A55" s="981">
        <v>55</v>
      </c>
      <c r="B55" s="567"/>
      <c r="C55" s="1411" t="s">
        <v>631</v>
      </c>
      <c r="D55" s="1412"/>
      <c r="E55" s="1149" t="s">
        <v>163</v>
      </c>
      <c r="F55" s="1176">
        <f>'BS Schedules'!F329</f>
        <v>0</v>
      </c>
      <c r="G55" s="527">
        <f>'BS Schedules'!F329</f>
        <v>0</v>
      </c>
      <c r="H55" s="1176">
        <f>'BS Schedules'!Q329</f>
        <v>0</v>
      </c>
      <c r="I55" s="527">
        <f>'BS Schedules'!Q329</f>
        <v>0</v>
      </c>
    </row>
    <row r="56" spans="1:9" s="136" customFormat="1" x14ac:dyDescent="0.25">
      <c r="A56" s="981">
        <v>56</v>
      </c>
      <c r="B56" s="567"/>
      <c r="C56" s="1411" t="s">
        <v>197</v>
      </c>
      <c r="D56" s="1412"/>
      <c r="E56" s="1881"/>
      <c r="F56" s="1187">
        <f>IF($E$56="x",'Deferred Taxes'!E11+'Deferred Taxes'!E23,0)</f>
        <v>0</v>
      </c>
      <c r="G56" s="1188">
        <f>IF($E$56="x",'Deferred Taxes'!E11+'Deferred Taxes'!E23+'Deferred Taxes'!E35,0)</f>
        <v>0</v>
      </c>
      <c r="H56" s="1187">
        <f>IF($E$56="x",'Deferred Taxes'!K11+'Deferred Taxes'!K23,0)</f>
        <v>0</v>
      </c>
      <c r="I56" s="1188">
        <f>IF($E$56="x",'Deferred Taxes'!K11+'Deferred Taxes'!K23+'Deferred Taxes'!K35,0)</f>
        <v>0</v>
      </c>
    </row>
    <row r="57" spans="1:9" x14ac:dyDescent="0.25">
      <c r="A57" s="981">
        <v>57</v>
      </c>
      <c r="B57" s="567"/>
      <c r="C57" s="610"/>
      <c r="D57" s="1150" t="s">
        <v>78</v>
      </c>
      <c r="E57" s="1142"/>
      <c r="F57" s="1178">
        <f>SUM(F54:F56)</f>
        <v>0</v>
      </c>
      <c r="G57" s="1179">
        <f>SUM(G54:G56)</f>
        <v>0</v>
      </c>
      <c r="H57" s="1178">
        <f>SUM(H54:H56)</f>
        <v>0</v>
      </c>
      <c r="I57" s="1179">
        <f>SUM(I54:I56)</f>
        <v>0</v>
      </c>
    </row>
    <row r="58" spans="1:9" s="38" customFormat="1" ht="19.899999999999999" customHeight="1" x14ac:dyDescent="0.25">
      <c r="A58" s="981">
        <v>58</v>
      </c>
      <c r="B58" s="1220"/>
      <c r="C58" s="1223"/>
      <c r="D58" s="1224" t="s">
        <v>8</v>
      </c>
      <c r="E58" s="1145"/>
      <c r="F58" s="1189">
        <f>F47+F52+F57</f>
        <v>0</v>
      </c>
      <c r="G58" s="1190">
        <f>G47+G52+G57</f>
        <v>0</v>
      </c>
      <c r="H58" s="1189">
        <f>H47+H52+H57</f>
        <v>0</v>
      </c>
      <c r="I58" s="1190">
        <f>I47+I52+I57</f>
        <v>0</v>
      </c>
    </row>
    <row r="59" spans="1:9" ht="24" customHeight="1" x14ac:dyDescent="0.3">
      <c r="A59" s="981">
        <v>59</v>
      </c>
      <c r="B59" s="1221" t="s">
        <v>40</v>
      </c>
      <c r="C59" s="1225"/>
      <c r="D59" s="1155"/>
      <c r="E59" s="1151"/>
      <c r="F59" s="1173" t="s">
        <v>81</v>
      </c>
      <c r="G59" s="1174" t="s">
        <v>82</v>
      </c>
      <c r="H59" s="1173" t="s">
        <v>81</v>
      </c>
      <c r="I59" s="1174" t="s">
        <v>82</v>
      </c>
    </row>
    <row r="60" spans="1:9" s="204" customFormat="1" ht="19.899999999999999" customHeight="1" thickBot="1" x14ac:dyDescent="0.35">
      <c r="A60" s="981">
        <v>60</v>
      </c>
      <c r="B60" s="1222"/>
      <c r="C60" s="1156"/>
      <c r="D60" s="1152" t="s">
        <v>7</v>
      </c>
      <c r="E60" s="1153"/>
      <c r="F60" s="1191">
        <f>F33-F58</f>
        <v>0</v>
      </c>
      <c r="G60" s="1192">
        <f>G33-G58</f>
        <v>0</v>
      </c>
      <c r="H60" s="1191">
        <f>H33-H58</f>
        <v>0</v>
      </c>
      <c r="I60" s="1192">
        <f>I33-I58</f>
        <v>0</v>
      </c>
    </row>
    <row r="61" spans="1:9" s="85" customFormat="1" ht="15.75" thickBot="1" x14ac:dyDescent="0.3">
      <c r="A61" s="981">
        <v>61</v>
      </c>
      <c r="B61" s="3"/>
      <c r="C61" s="12"/>
      <c r="D61" s="12"/>
      <c r="E61" s="12"/>
      <c r="F61" s="61"/>
      <c r="G61" s="61"/>
      <c r="H61" s="61"/>
      <c r="I61" s="61"/>
    </row>
    <row r="62" spans="1:9" s="136" customFormat="1" ht="18" customHeight="1" x14ac:dyDescent="0.3">
      <c r="A62" s="981">
        <v>62</v>
      </c>
      <c r="B62" s="1406" t="s">
        <v>821</v>
      </c>
      <c r="C62" s="1407"/>
      <c r="D62" s="1407"/>
      <c r="E62" s="1408"/>
      <c r="F62" s="1402" t="s">
        <v>0</v>
      </c>
      <c r="G62" s="1403"/>
      <c r="H62" s="1404" t="s">
        <v>1</v>
      </c>
      <c r="I62" s="1405"/>
    </row>
    <row r="63" spans="1:9" s="136" customFormat="1" x14ac:dyDescent="0.25">
      <c r="A63" s="981">
        <v>63</v>
      </c>
      <c r="B63" s="1159"/>
      <c r="C63" s="1446" t="s">
        <v>822</v>
      </c>
      <c r="D63" s="1447"/>
      <c r="E63" s="1157"/>
      <c r="F63" s="1442">
        <f>AVERAGE(F33,H33)</f>
        <v>0</v>
      </c>
      <c r="G63" s="1443"/>
      <c r="H63" s="1442">
        <f>AVERAGE(G33,I33)</f>
        <v>0</v>
      </c>
      <c r="I63" s="1443"/>
    </row>
    <row r="64" spans="1:9" s="136" customFormat="1" x14ac:dyDescent="0.25">
      <c r="A64" s="981">
        <v>64</v>
      </c>
      <c r="B64" s="1159"/>
      <c r="C64" s="1446" t="s">
        <v>42</v>
      </c>
      <c r="D64" s="1447"/>
      <c r="E64" s="1157"/>
      <c r="F64" s="1442">
        <f>AVERAGE(F58,H58)</f>
        <v>0</v>
      </c>
      <c r="G64" s="1443"/>
      <c r="H64" s="1442">
        <f>AVERAGE(G58,I58)</f>
        <v>0</v>
      </c>
      <c r="I64" s="1443"/>
    </row>
    <row r="65" spans="1:9" s="136" customFormat="1" ht="15.75" thickBot="1" x14ac:dyDescent="0.3">
      <c r="A65" s="981">
        <v>65</v>
      </c>
      <c r="B65" s="1160"/>
      <c r="C65" s="1440" t="s">
        <v>43</v>
      </c>
      <c r="D65" s="1441"/>
      <c r="E65" s="1158"/>
      <c r="F65" s="1444">
        <f>AVERAGE(F60,H60)</f>
        <v>0</v>
      </c>
      <c r="G65" s="1445"/>
      <c r="H65" s="1444">
        <f>AVERAGE(G60,I60)</f>
        <v>0</v>
      </c>
      <c r="I65" s="1445"/>
    </row>
    <row r="66" spans="1:9" s="391" customFormat="1" ht="15.75" thickBot="1" x14ac:dyDescent="0.3">
      <c r="A66" s="981">
        <v>66</v>
      </c>
      <c r="B66" s="990"/>
      <c r="C66" s="991"/>
      <c r="D66" s="991"/>
      <c r="E66" s="991"/>
      <c r="F66" s="992"/>
      <c r="G66" s="992"/>
      <c r="H66" s="992"/>
      <c r="I66" s="992"/>
    </row>
    <row r="67" spans="1:9" x14ac:dyDescent="0.25">
      <c r="A67" s="981">
        <v>67</v>
      </c>
      <c r="B67" s="1346"/>
      <c r="C67" s="1347"/>
      <c r="D67" s="993"/>
      <c r="E67" s="993"/>
      <c r="F67" s="1165" t="s">
        <v>963</v>
      </c>
      <c r="G67" s="1166">
        <f>G3</f>
        <v>0</v>
      </c>
      <c r="H67" s="1167" t="s">
        <v>963</v>
      </c>
      <c r="I67" s="1168">
        <f>I3</f>
        <v>-1</v>
      </c>
    </row>
    <row r="68" spans="1:9" x14ac:dyDescent="0.25">
      <c r="A68" s="1099">
        <v>68</v>
      </c>
      <c r="B68" s="567" t="s">
        <v>840</v>
      </c>
      <c r="C68" s="556"/>
      <c r="D68" s="1161"/>
      <c r="E68" s="1162"/>
      <c r="F68" s="1459">
        <f>F37</f>
        <v>0</v>
      </c>
      <c r="G68" s="1460"/>
      <c r="H68" s="1459">
        <f>H37</f>
        <v>0</v>
      </c>
      <c r="I68" s="1460"/>
    </row>
    <row r="69" spans="1:9" x14ac:dyDescent="0.25">
      <c r="A69" s="1099">
        <v>69</v>
      </c>
      <c r="B69" s="567" t="s">
        <v>1042</v>
      </c>
      <c r="C69" s="556"/>
      <c r="D69" s="556"/>
      <c r="E69" s="568"/>
      <c r="F69" s="1459">
        <f>F38+F39</f>
        <v>0</v>
      </c>
      <c r="G69" s="1460"/>
      <c r="H69" s="1459">
        <f>H38+H39</f>
        <v>0</v>
      </c>
      <c r="I69" s="1460"/>
    </row>
    <row r="70" spans="1:9" x14ac:dyDescent="0.25">
      <c r="A70" s="1099">
        <v>70</v>
      </c>
      <c r="B70" s="567" t="s">
        <v>842</v>
      </c>
      <c r="C70" s="556"/>
      <c r="D70" s="556"/>
      <c r="E70" s="568"/>
      <c r="F70" s="1459">
        <f>F40</f>
        <v>0</v>
      </c>
      <c r="G70" s="1460"/>
      <c r="H70" s="1459">
        <f>H40</f>
        <v>0</v>
      </c>
      <c r="I70" s="1460"/>
    </row>
    <row r="71" spans="1:9" x14ac:dyDescent="0.25">
      <c r="A71" s="1099">
        <v>71</v>
      </c>
      <c r="B71" s="567" t="s">
        <v>1043</v>
      </c>
      <c r="C71" s="556"/>
      <c r="D71" s="556"/>
      <c r="E71" s="568"/>
      <c r="F71" s="1459">
        <f>F41+F42</f>
        <v>0</v>
      </c>
      <c r="G71" s="1460"/>
      <c r="H71" s="1459">
        <f>H41+H42</f>
        <v>0</v>
      </c>
      <c r="I71" s="1460"/>
    </row>
    <row r="72" spans="1:9" x14ac:dyDescent="0.25">
      <c r="A72" s="1099">
        <v>72</v>
      </c>
      <c r="B72" s="567" t="s">
        <v>844</v>
      </c>
      <c r="C72" s="556"/>
      <c r="D72" s="556"/>
      <c r="E72" s="568"/>
      <c r="F72" s="1459">
        <f>F68+F69</f>
        <v>0</v>
      </c>
      <c r="G72" s="1460"/>
      <c r="H72" s="1459">
        <f>H68+H69</f>
        <v>0</v>
      </c>
      <c r="I72" s="1460"/>
    </row>
    <row r="73" spans="1:9" x14ac:dyDescent="0.25">
      <c r="A73" s="1099">
        <v>73</v>
      </c>
      <c r="B73" s="567" t="s">
        <v>841</v>
      </c>
      <c r="C73" s="556"/>
      <c r="D73" s="556"/>
      <c r="E73" s="568"/>
      <c r="F73" s="1459">
        <f>F70+F71</f>
        <v>0</v>
      </c>
      <c r="G73" s="1460"/>
      <c r="H73" s="1459">
        <f>H70+H71</f>
        <v>0</v>
      </c>
      <c r="I73" s="1460"/>
    </row>
    <row r="74" spans="1:9" s="391" customFormat="1" x14ac:dyDescent="0.25">
      <c r="A74" s="1099">
        <v>74</v>
      </c>
      <c r="B74" s="567" t="s">
        <v>1044</v>
      </c>
      <c r="C74" s="556"/>
      <c r="D74" s="556"/>
      <c r="E74" s="568"/>
      <c r="F74" s="1461">
        <f>SUM(F72:F73)</f>
        <v>0</v>
      </c>
      <c r="G74" s="1462"/>
      <c r="H74" s="1461">
        <f>SUM(H72:H73)</f>
        <v>0</v>
      </c>
      <c r="I74" s="1462"/>
    </row>
    <row r="75" spans="1:9" s="391" customFormat="1" x14ac:dyDescent="0.25">
      <c r="A75" s="1099">
        <v>75</v>
      </c>
      <c r="B75" s="567" t="s">
        <v>1045</v>
      </c>
      <c r="C75" s="556"/>
      <c r="D75" s="556"/>
      <c r="E75" s="568"/>
      <c r="F75" s="1459">
        <f>F49+F50+F54</f>
        <v>0</v>
      </c>
      <c r="G75" s="1460"/>
      <c r="H75" s="1459">
        <f>H49+H50+H54</f>
        <v>0</v>
      </c>
      <c r="I75" s="1460"/>
    </row>
    <row r="76" spans="1:9" s="391" customFormat="1" x14ac:dyDescent="0.25">
      <c r="A76" s="1099">
        <v>76</v>
      </c>
      <c r="B76" s="567" t="s">
        <v>843</v>
      </c>
      <c r="C76" s="556"/>
      <c r="D76" s="556"/>
      <c r="E76" s="568"/>
      <c r="F76" s="1459">
        <f>F69+F75</f>
        <v>0</v>
      </c>
      <c r="G76" s="1460"/>
      <c r="H76" s="1459">
        <f>H69+H75</f>
        <v>0</v>
      </c>
      <c r="I76" s="1460"/>
    </row>
    <row r="77" spans="1:9" ht="15.75" thickBot="1" x14ac:dyDescent="0.3">
      <c r="A77" s="1099">
        <v>77</v>
      </c>
      <c r="B77" s="1323" t="s">
        <v>845</v>
      </c>
      <c r="C77" s="1163"/>
      <c r="D77" s="1163"/>
      <c r="E77" s="1164"/>
      <c r="F77" s="1457">
        <f>F68+F76</f>
        <v>0</v>
      </c>
      <c r="G77" s="1458"/>
      <c r="H77" s="1457">
        <f>H68+H76</f>
        <v>0</v>
      </c>
      <c r="I77" s="1458"/>
    </row>
  </sheetData>
  <sheetProtection sheet="1" objects="1" scenarios="1" selectLockedCells="1"/>
  <mergeCells count="78">
    <mergeCell ref="F71:G71"/>
    <mergeCell ref="F70:G70"/>
    <mergeCell ref="F69:G69"/>
    <mergeCell ref="F68:G68"/>
    <mergeCell ref="H71:I71"/>
    <mergeCell ref="H70:I70"/>
    <mergeCell ref="H69:I69"/>
    <mergeCell ref="H68:I68"/>
    <mergeCell ref="H77:I77"/>
    <mergeCell ref="H76:I76"/>
    <mergeCell ref="H75:I75"/>
    <mergeCell ref="H73:I73"/>
    <mergeCell ref="H72:I72"/>
    <mergeCell ref="H74:I74"/>
    <mergeCell ref="F77:G77"/>
    <mergeCell ref="F76:G76"/>
    <mergeCell ref="F75:G75"/>
    <mergeCell ref="F73:G73"/>
    <mergeCell ref="F72:G72"/>
    <mergeCell ref="F74:G74"/>
    <mergeCell ref="C12:D12"/>
    <mergeCell ref="C36:D36"/>
    <mergeCell ref="B16:D16"/>
    <mergeCell ref="C24:D24"/>
    <mergeCell ref="C33:D33"/>
    <mergeCell ref="C13:D13"/>
    <mergeCell ref="C23:D23"/>
    <mergeCell ref="C21:D21"/>
    <mergeCell ref="C31:D31"/>
    <mergeCell ref="C29:D29"/>
    <mergeCell ref="C28:D28"/>
    <mergeCell ref="C27:D27"/>
    <mergeCell ref="C14:D14"/>
    <mergeCell ref="C19:D19"/>
    <mergeCell ref="B1:I1"/>
    <mergeCell ref="F2:G2"/>
    <mergeCell ref="H2:I2"/>
    <mergeCell ref="B2:E4"/>
    <mergeCell ref="C65:D65"/>
    <mergeCell ref="F63:G63"/>
    <mergeCell ref="H63:I63"/>
    <mergeCell ref="F64:G64"/>
    <mergeCell ref="F65:G65"/>
    <mergeCell ref="H64:I64"/>
    <mergeCell ref="H65:I65"/>
    <mergeCell ref="C64:D64"/>
    <mergeCell ref="C63:D63"/>
    <mergeCell ref="C26:D26"/>
    <mergeCell ref="C40:D40"/>
    <mergeCell ref="C39:D39"/>
    <mergeCell ref="C50:D50"/>
    <mergeCell ref="C49:D49"/>
    <mergeCell ref="C45:D45"/>
    <mergeCell ref="C15:D15"/>
    <mergeCell ref="C17:D17"/>
    <mergeCell ref="C20:D20"/>
    <mergeCell ref="C18:D18"/>
    <mergeCell ref="B6:D6"/>
    <mergeCell ref="C7:D7"/>
    <mergeCell ref="C10:D10"/>
    <mergeCell ref="C11:D11"/>
    <mergeCell ref="C8:D8"/>
    <mergeCell ref="F62:G62"/>
    <mergeCell ref="H62:I62"/>
    <mergeCell ref="B62:E62"/>
    <mergeCell ref="C22:D22"/>
    <mergeCell ref="C46:D46"/>
    <mergeCell ref="C44:D44"/>
    <mergeCell ref="C43:D43"/>
    <mergeCell ref="C42:D42"/>
    <mergeCell ref="C41:D41"/>
    <mergeCell ref="C32:D32"/>
    <mergeCell ref="C56:D56"/>
    <mergeCell ref="C55:D55"/>
    <mergeCell ref="C37:D37"/>
    <mergeCell ref="C54:D54"/>
    <mergeCell ref="C38:D38"/>
    <mergeCell ref="C51:D51"/>
  </mergeCells>
  <pageMargins left="0.45" right="0.45" top="0.5" bottom="0.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81"/>
  </sheetPr>
  <dimension ref="A1:AI329"/>
  <sheetViews>
    <sheetView showGridLines="0" zoomScale="80" zoomScaleNormal="80" workbookViewId="0">
      <pane ySplit="1" topLeftCell="A2" activePane="bottomLeft" state="frozen"/>
      <selection pane="bottomLeft" activeCell="E319" sqref="E319"/>
    </sheetView>
  </sheetViews>
  <sheetFormatPr defaultRowHeight="15" x14ac:dyDescent="0.25"/>
  <cols>
    <col min="1" max="1" width="3.85546875" style="391" customWidth="1"/>
    <col min="2" max="2" width="38.85546875" customWidth="1"/>
    <col min="3" max="4" width="12.85546875" customWidth="1"/>
    <col min="5" max="5" width="15.140625" customWidth="1"/>
    <col min="6" max="6" width="14.28515625" customWidth="1"/>
    <col min="7" max="7" width="14.5703125" customWidth="1"/>
    <col min="8" max="8" width="14.42578125" customWidth="1"/>
    <col min="9" max="9" width="14.5703125" customWidth="1"/>
    <col min="10" max="10" width="12.7109375" style="70" customWidth="1"/>
    <col min="11" max="11" width="11.42578125" style="108" customWidth="1"/>
    <col min="12" max="12" width="2.7109375" style="44" customWidth="1"/>
    <col min="13" max="13" width="38.7109375" customWidth="1"/>
    <col min="14" max="14" width="13" customWidth="1"/>
    <col min="15" max="15" width="13.85546875" customWidth="1"/>
    <col min="16" max="17" width="15.42578125" customWidth="1"/>
    <col min="18" max="20" width="14.5703125" customWidth="1"/>
    <col min="21" max="22" width="10.28515625" customWidth="1"/>
    <col min="23" max="23" width="2.7109375" style="44" customWidth="1"/>
    <col min="24" max="24" width="38.85546875" style="195" hidden="1" customWidth="1"/>
    <col min="25" max="25" width="13.140625" style="195" hidden="1" customWidth="1"/>
    <col min="26" max="26" width="13.28515625" style="195" hidden="1" customWidth="1"/>
    <col min="27" max="27" width="15.7109375" style="195" hidden="1" customWidth="1"/>
    <col min="28" max="28" width="14.28515625" style="195" hidden="1" customWidth="1"/>
    <col min="29" max="29" width="14.5703125" style="195" hidden="1" customWidth="1"/>
    <col min="30" max="30" width="14.42578125" style="195" hidden="1" customWidth="1"/>
    <col min="31" max="31" width="14.7109375" style="195" hidden="1" customWidth="1"/>
    <col min="32" max="32" width="12.7109375" style="195" hidden="1" customWidth="1"/>
    <col min="33" max="33" width="11.42578125" style="195" hidden="1" customWidth="1"/>
    <col min="34" max="34" width="3.42578125" style="44" hidden="1" customWidth="1"/>
    <col min="35" max="35" width="8.7109375" hidden="1" customWidth="1"/>
  </cols>
  <sheetData>
    <row r="1" spans="1:34" ht="27.6" customHeight="1" thickBot="1" x14ac:dyDescent="0.3">
      <c r="A1" s="1269">
        <v>1</v>
      </c>
      <c r="B1" s="1596" t="s">
        <v>51</v>
      </c>
      <c r="C1" s="1597"/>
      <c r="D1" s="1597"/>
      <c r="E1" s="1611">
        <f>'Input Sheet'!C4</f>
        <v>0</v>
      </c>
      <c r="F1" s="1612"/>
      <c r="G1" s="226" t="s">
        <v>243</v>
      </c>
      <c r="H1" s="227">
        <f>'Input Sheet'!C9</f>
        <v>0</v>
      </c>
      <c r="I1" s="1226"/>
      <c r="J1" s="71"/>
      <c r="K1" s="71"/>
      <c r="M1" s="1614" t="s">
        <v>51</v>
      </c>
      <c r="N1" s="1614"/>
      <c r="O1" s="1614"/>
      <c r="P1" s="1615">
        <f>'Input Sheet'!C4</f>
        <v>0</v>
      </c>
      <c r="Q1" s="1615"/>
      <c r="R1" s="226" t="s">
        <v>243</v>
      </c>
      <c r="S1" s="227">
        <f>'Input Sheet'!C9-1</f>
        <v>-1</v>
      </c>
      <c r="T1" s="1226"/>
      <c r="U1" s="71"/>
      <c r="V1" s="71"/>
      <c r="X1" s="1596" t="s">
        <v>51</v>
      </c>
      <c r="Y1" s="1597"/>
      <c r="Z1" s="1597"/>
      <c r="AA1" s="1598">
        <f>'Input Sheet'!C4</f>
        <v>0</v>
      </c>
      <c r="AB1" s="1599"/>
      <c r="AC1" s="226" t="s">
        <v>243</v>
      </c>
      <c r="AD1" s="227">
        <f>'Input Sheet'!C9-2</f>
        <v>-2</v>
      </c>
      <c r="AE1" s="1226"/>
      <c r="AF1" s="71"/>
      <c r="AG1" s="71"/>
    </row>
    <row r="2" spans="1:34" ht="15.75" thickBot="1" x14ac:dyDescent="0.3">
      <c r="A2" s="1269">
        <v>2</v>
      </c>
      <c r="B2" s="170" t="s">
        <v>12</v>
      </c>
      <c r="C2" s="1600" t="s">
        <v>1047</v>
      </c>
      <c r="D2" s="1601"/>
      <c r="E2" s="1601"/>
      <c r="F2" s="1601"/>
      <c r="G2" s="1601"/>
      <c r="H2" s="1602"/>
      <c r="I2" s="1227"/>
      <c r="J2" s="1228"/>
      <c r="K2" s="203"/>
      <c r="M2" s="170" t="s">
        <v>12</v>
      </c>
      <c r="N2" s="1600" t="s">
        <v>1047</v>
      </c>
      <c r="O2" s="1601"/>
      <c r="P2" s="1601"/>
      <c r="Q2" s="1601"/>
      <c r="R2" s="1601"/>
      <c r="S2" s="1602"/>
      <c r="T2" s="1227"/>
      <c r="U2" s="1228"/>
      <c r="V2" s="152"/>
      <c r="X2" s="170" t="s">
        <v>12</v>
      </c>
      <c r="Y2" s="1600" t="s">
        <v>1074</v>
      </c>
      <c r="Z2" s="1601"/>
      <c r="AA2" s="1601"/>
      <c r="AB2" s="1601"/>
      <c r="AC2" s="1601"/>
      <c r="AD2" s="1602"/>
      <c r="AE2" s="1227"/>
      <c r="AF2" s="1228"/>
    </row>
    <row r="3" spans="1:34" x14ac:dyDescent="0.25">
      <c r="A3" s="1269">
        <v>3</v>
      </c>
      <c r="M3" s="152"/>
      <c r="N3" s="152"/>
      <c r="O3" s="152"/>
      <c r="P3" s="152"/>
      <c r="Q3" s="152"/>
      <c r="R3" s="152"/>
      <c r="S3" s="152"/>
      <c r="T3" s="152"/>
      <c r="U3" s="152"/>
      <c r="V3" s="152"/>
    </row>
    <row r="4" spans="1:34" s="106" customFormat="1" ht="15.75" thickBot="1" x14ac:dyDescent="0.3">
      <c r="A4" s="1269">
        <v>4</v>
      </c>
      <c r="K4" s="108"/>
      <c r="L4" s="44"/>
      <c r="M4" s="152"/>
      <c r="N4" s="152"/>
      <c r="O4" s="152"/>
      <c r="P4" s="152"/>
      <c r="Q4" s="152"/>
      <c r="R4" s="152"/>
      <c r="S4" s="152"/>
      <c r="T4" s="152"/>
      <c r="U4" s="152"/>
      <c r="V4" s="152"/>
      <c r="W4" s="44"/>
      <c r="X4" s="195"/>
      <c r="Y4" s="195"/>
      <c r="Z4" s="195"/>
      <c r="AA4" s="195"/>
      <c r="AB4" s="195"/>
      <c r="AC4" s="195"/>
      <c r="AD4" s="195"/>
      <c r="AE4" s="195"/>
      <c r="AF4" s="195"/>
      <c r="AG4" s="195"/>
      <c r="AH4" s="44"/>
    </row>
    <row r="5" spans="1:34" s="106" customFormat="1" ht="18.75" x14ac:dyDescent="0.3">
      <c r="A5" s="1269">
        <v>5</v>
      </c>
      <c r="B5" s="1510" t="s">
        <v>985</v>
      </c>
      <c r="C5" s="1511"/>
      <c r="D5" s="1511"/>
      <c r="E5" s="1511"/>
      <c r="F5" s="1511"/>
      <c r="G5" s="1512"/>
      <c r="H5" s="1041"/>
      <c r="I5" s="1041"/>
      <c r="J5" s="1041"/>
      <c r="K5" s="1041"/>
      <c r="L5" s="44"/>
      <c r="M5" s="1510" t="s">
        <v>985</v>
      </c>
      <c r="N5" s="1511"/>
      <c r="O5" s="1511"/>
      <c r="P5" s="1511"/>
      <c r="Q5" s="1511"/>
      <c r="R5" s="1512"/>
      <c r="S5" s="1041"/>
      <c r="T5" s="1041"/>
      <c r="U5" s="1041"/>
      <c r="V5" s="1041"/>
      <c r="W5" s="44"/>
      <c r="X5" s="1510" t="s">
        <v>985</v>
      </c>
      <c r="Y5" s="1511"/>
      <c r="Z5" s="1511"/>
      <c r="AA5" s="1511"/>
      <c r="AB5" s="1511"/>
      <c r="AC5" s="1512"/>
      <c r="AD5" s="1041"/>
      <c r="AE5" s="1041"/>
      <c r="AF5" s="1041"/>
      <c r="AG5" s="1041"/>
      <c r="AH5" s="44"/>
    </row>
    <row r="6" spans="1:34" s="106" customFormat="1" ht="45" customHeight="1" x14ac:dyDescent="0.25">
      <c r="A6" s="1269">
        <v>6</v>
      </c>
      <c r="B6" s="1515" t="s">
        <v>986</v>
      </c>
      <c r="C6" s="1516"/>
      <c r="D6" s="1516"/>
      <c r="E6" s="1516"/>
      <c r="F6" s="1516"/>
      <c r="G6" s="213" t="s">
        <v>983</v>
      </c>
      <c r="H6" s="885"/>
      <c r="I6" s="885"/>
      <c r="J6" s="885"/>
      <c r="K6" s="885"/>
      <c r="L6" s="44"/>
      <c r="M6" s="1515" t="s">
        <v>986</v>
      </c>
      <c r="N6" s="1516"/>
      <c r="O6" s="1516"/>
      <c r="P6" s="1516"/>
      <c r="Q6" s="1516"/>
      <c r="R6" s="213" t="s">
        <v>983</v>
      </c>
      <c r="S6" s="885"/>
      <c r="T6" s="885"/>
      <c r="U6" s="885"/>
      <c r="V6" s="885"/>
      <c r="W6" s="44"/>
      <c r="X6" s="1515" t="s">
        <v>986</v>
      </c>
      <c r="Y6" s="1516"/>
      <c r="Z6" s="1516"/>
      <c r="AA6" s="1516"/>
      <c r="AB6" s="1516"/>
      <c r="AC6" s="213" t="s">
        <v>983</v>
      </c>
      <c r="AD6" s="885"/>
      <c r="AE6" s="885"/>
      <c r="AF6" s="885"/>
      <c r="AG6" s="885"/>
      <c r="AH6" s="44"/>
    </row>
    <row r="7" spans="1:34" s="106" customFormat="1" x14ac:dyDescent="0.25">
      <c r="A7" s="1269">
        <v>7</v>
      </c>
      <c r="B7" s="1882"/>
      <c r="C7" s="1883"/>
      <c r="D7" s="1883"/>
      <c r="E7" s="1883"/>
      <c r="F7" s="1883"/>
      <c r="G7" s="1884"/>
      <c r="H7" s="400"/>
      <c r="I7" s="400"/>
      <c r="J7" s="400"/>
      <c r="K7" s="400"/>
      <c r="L7" s="44"/>
      <c r="M7" s="1882"/>
      <c r="N7" s="1883"/>
      <c r="O7" s="1883"/>
      <c r="P7" s="1883"/>
      <c r="Q7" s="1883"/>
      <c r="R7" s="1884"/>
      <c r="S7" s="400"/>
      <c r="T7" s="400"/>
      <c r="U7" s="400"/>
      <c r="V7" s="400"/>
      <c r="W7" s="44"/>
      <c r="X7" s="1478"/>
      <c r="Y7" s="1480"/>
      <c r="Z7" s="1480"/>
      <c r="AA7" s="1480"/>
      <c r="AB7" s="1481"/>
      <c r="AC7" s="124"/>
      <c r="AD7" s="400"/>
      <c r="AE7" s="400"/>
      <c r="AF7" s="400"/>
      <c r="AG7" s="400"/>
      <c r="AH7" s="44"/>
    </row>
    <row r="8" spans="1:34" s="106" customFormat="1" x14ac:dyDescent="0.25">
      <c r="A8" s="1269">
        <v>8</v>
      </c>
      <c r="B8" s="1882"/>
      <c r="C8" s="1883"/>
      <c r="D8" s="1883"/>
      <c r="E8" s="1883"/>
      <c r="F8" s="1883"/>
      <c r="G8" s="1884"/>
      <c r="H8" s="400"/>
      <c r="I8" s="400"/>
      <c r="J8" s="400"/>
      <c r="K8" s="400"/>
      <c r="L8" s="44"/>
      <c r="M8" s="1882"/>
      <c r="N8" s="1883"/>
      <c r="O8" s="1883"/>
      <c r="P8" s="1883"/>
      <c r="Q8" s="1883"/>
      <c r="R8" s="1884"/>
      <c r="S8" s="400"/>
      <c r="T8" s="400"/>
      <c r="U8" s="400"/>
      <c r="V8" s="400"/>
      <c r="W8" s="44"/>
      <c r="X8" s="1478"/>
      <c r="Y8" s="1480"/>
      <c r="Z8" s="1480"/>
      <c r="AA8" s="1480"/>
      <c r="AB8" s="1481"/>
      <c r="AC8" s="124"/>
      <c r="AD8" s="400"/>
      <c r="AE8" s="400"/>
      <c r="AF8" s="400"/>
      <c r="AG8" s="400"/>
      <c r="AH8" s="44"/>
    </row>
    <row r="9" spans="1:34" s="106" customFormat="1" x14ac:dyDescent="0.25">
      <c r="A9" s="1269">
        <v>9</v>
      </c>
      <c r="B9" s="1882"/>
      <c r="C9" s="1883"/>
      <c r="D9" s="1883"/>
      <c r="E9" s="1883"/>
      <c r="F9" s="1883"/>
      <c r="G9" s="1884"/>
      <c r="H9" s="400"/>
      <c r="I9" s="400"/>
      <c r="J9" s="400"/>
      <c r="K9" s="400"/>
      <c r="L9" s="44"/>
      <c r="M9" s="1882"/>
      <c r="N9" s="1883"/>
      <c r="O9" s="1883"/>
      <c r="P9" s="1883"/>
      <c r="Q9" s="1883"/>
      <c r="R9" s="1884"/>
      <c r="S9" s="400"/>
      <c r="T9" s="400"/>
      <c r="U9" s="400"/>
      <c r="V9" s="400"/>
      <c r="W9" s="44"/>
      <c r="X9" s="1478"/>
      <c r="Y9" s="1480"/>
      <c r="Z9" s="1480"/>
      <c r="AA9" s="1480"/>
      <c r="AB9" s="1481"/>
      <c r="AC9" s="124"/>
      <c r="AD9" s="400"/>
      <c r="AE9" s="400"/>
      <c r="AF9" s="400"/>
      <c r="AG9" s="400"/>
      <c r="AH9" s="44"/>
    </row>
    <row r="10" spans="1:34" s="106" customFormat="1" x14ac:dyDescent="0.25">
      <c r="A10" s="1269">
        <v>10</v>
      </c>
      <c r="B10" s="1882"/>
      <c r="C10" s="1883"/>
      <c r="D10" s="1883"/>
      <c r="E10" s="1883"/>
      <c r="F10" s="1883"/>
      <c r="G10" s="1884"/>
      <c r="H10" s="400"/>
      <c r="I10" s="400"/>
      <c r="J10" s="400"/>
      <c r="K10" s="400"/>
      <c r="L10" s="44"/>
      <c r="M10" s="1882"/>
      <c r="N10" s="1883"/>
      <c r="O10" s="1883"/>
      <c r="P10" s="1883"/>
      <c r="Q10" s="1883"/>
      <c r="R10" s="1884"/>
      <c r="S10" s="400"/>
      <c r="T10" s="400"/>
      <c r="U10" s="400"/>
      <c r="V10" s="400"/>
      <c r="W10" s="44"/>
      <c r="X10" s="1478"/>
      <c r="Y10" s="1480"/>
      <c r="Z10" s="1480"/>
      <c r="AA10" s="1480"/>
      <c r="AB10" s="1481"/>
      <c r="AC10" s="124"/>
      <c r="AD10" s="400"/>
      <c r="AE10" s="400"/>
      <c r="AF10" s="400"/>
      <c r="AG10" s="400"/>
      <c r="AH10" s="44"/>
    </row>
    <row r="11" spans="1:34" s="106" customFormat="1" x14ac:dyDescent="0.25">
      <c r="A11" s="1269">
        <v>11</v>
      </c>
      <c r="B11" s="1882"/>
      <c r="C11" s="1883"/>
      <c r="D11" s="1883"/>
      <c r="E11" s="1883"/>
      <c r="F11" s="1883"/>
      <c r="G11" s="1884"/>
      <c r="H11" s="400"/>
      <c r="I11" s="400"/>
      <c r="J11" s="400"/>
      <c r="K11" s="400"/>
      <c r="L11" s="44"/>
      <c r="M11" s="1882"/>
      <c r="N11" s="1883"/>
      <c r="O11" s="1883"/>
      <c r="P11" s="1883"/>
      <c r="Q11" s="1883"/>
      <c r="R11" s="1884"/>
      <c r="S11" s="400"/>
      <c r="T11" s="400"/>
      <c r="U11" s="400"/>
      <c r="V11" s="400"/>
      <c r="W11" s="44"/>
      <c r="X11" s="1478"/>
      <c r="Y11" s="1480"/>
      <c r="Z11" s="1480"/>
      <c r="AA11" s="1480"/>
      <c r="AB11" s="1481"/>
      <c r="AC11" s="124"/>
      <c r="AD11" s="400"/>
      <c r="AE11" s="400"/>
      <c r="AF11" s="400"/>
      <c r="AG11" s="400"/>
      <c r="AH11" s="44"/>
    </row>
    <row r="12" spans="1:34" s="106" customFormat="1" x14ac:dyDescent="0.25">
      <c r="A12" s="1269">
        <v>12</v>
      </c>
      <c r="B12" s="1490" t="s">
        <v>1048</v>
      </c>
      <c r="C12" s="1491"/>
      <c r="D12" s="1491"/>
      <c r="E12" s="1491"/>
      <c r="F12" s="1491"/>
      <c r="G12" s="1233">
        <f>SUM(G7:G11)</f>
        <v>0</v>
      </c>
      <c r="H12" s="400"/>
      <c r="I12" s="400"/>
      <c r="J12" s="400"/>
      <c r="K12" s="400"/>
      <c r="L12" s="44"/>
      <c r="M12" s="1490" t="s">
        <v>1048</v>
      </c>
      <c r="N12" s="1491"/>
      <c r="O12" s="1491"/>
      <c r="P12" s="1491"/>
      <c r="Q12" s="1491"/>
      <c r="R12" s="1233">
        <f>SUM(R7:R11)</f>
        <v>0</v>
      </c>
      <c r="S12" s="400"/>
      <c r="T12" s="400"/>
      <c r="U12" s="400"/>
      <c r="V12" s="400"/>
      <c r="W12" s="44"/>
      <c r="X12" s="1521" t="s">
        <v>1048</v>
      </c>
      <c r="Y12" s="1522"/>
      <c r="Z12" s="1522"/>
      <c r="AA12" s="1522"/>
      <c r="AB12" s="1584"/>
      <c r="AC12" s="1233">
        <f>SUM(AC7:AC11)</f>
        <v>0</v>
      </c>
      <c r="AD12" s="400"/>
      <c r="AE12" s="400"/>
      <c r="AF12" s="400"/>
      <c r="AG12" s="400"/>
      <c r="AH12" s="44"/>
    </row>
    <row r="13" spans="1:34" s="343" customFormat="1" ht="36.950000000000003" customHeight="1" x14ac:dyDescent="0.3">
      <c r="A13" s="1269">
        <v>13</v>
      </c>
      <c r="B13" s="1587" t="s">
        <v>1034</v>
      </c>
      <c r="C13" s="1588"/>
      <c r="D13" s="1588"/>
      <c r="E13" s="1588"/>
      <c r="F13" s="1588"/>
      <c r="G13" s="37" t="s">
        <v>984</v>
      </c>
      <c r="H13" s="885"/>
      <c r="I13" s="885"/>
      <c r="J13" s="885"/>
      <c r="K13" s="885"/>
      <c r="L13" s="44"/>
      <c r="M13" s="1587" t="s">
        <v>1034</v>
      </c>
      <c r="N13" s="1588"/>
      <c r="O13" s="1588"/>
      <c r="P13" s="1588"/>
      <c r="Q13" s="1588"/>
      <c r="R13" s="37" t="s">
        <v>984</v>
      </c>
      <c r="S13" s="885"/>
      <c r="T13" s="885"/>
      <c r="U13" s="885"/>
      <c r="V13" s="885"/>
      <c r="W13" s="44"/>
      <c r="X13" s="1587" t="s">
        <v>1034</v>
      </c>
      <c r="Y13" s="1588"/>
      <c r="Z13" s="1588"/>
      <c r="AA13" s="1588"/>
      <c r="AB13" s="1588"/>
      <c r="AC13" s="37" t="s">
        <v>984</v>
      </c>
      <c r="AD13" s="885"/>
      <c r="AE13" s="885"/>
      <c r="AF13" s="885"/>
      <c r="AG13" s="885"/>
      <c r="AH13" s="44"/>
    </row>
    <row r="14" spans="1:34" s="391" customFormat="1" ht="14.45" customHeight="1" x14ac:dyDescent="0.25">
      <c r="A14" s="1269">
        <v>14</v>
      </c>
      <c r="B14" s="1885"/>
      <c r="C14" s="1886"/>
      <c r="D14" s="1886"/>
      <c r="E14" s="1886"/>
      <c r="F14" s="1887"/>
      <c r="G14" s="1884"/>
      <c r="H14" s="885"/>
      <c r="I14" s="885"/>
      <c r="J14" s="885"/>
      <c r="K14" s="885"/>
      <c r="L14" s="44"/>
      <c r="M14" s="1885"/>
      <c r="N14" s="1886"/>
      <c r="O14" s="1886"/>
      <c r="P14" s="1886"/>
      <c r="Q14" s="1887"/>
      <c r="R14" s="1884"/>
      <c r="S14" s="885"/>
      <c r="T14" s="885"/>
      <c r="U14" s="885"/>
      <c r="V14" s="885"/>
      <c r="W14" s="44"/>
      <c r="X14" s="1593"/>
      <c r="Y14" s="1594"/>
      <c r="Z14" s="1594"/>
      <c r="AA14" s="1594"/>
      <c r="AB14" s="1595"/>
      <c r="AC14" s="124"/>
      <c r="AD14" s="885"/>
      <c r="AE14" s="885"/>
      <c r="AF14" s="885"/>
      <c r="AG14" s="885"/>
      <c r="AH14" s="44"/>
    </row>
    <row r="15" spans="1:34" s="391" customFormat="1" ht="14.45" customHeight="1" x14ac:dyDescent="0.25">
      <c r="A15" s="1269">
        <v>15</v>
      </c>
      <c r="B15" s="1885"/>
      <c r="C15" s="1886"/>
      <c r="D15" s="1886"/>
      <c r="E15" s="1886"/>
      <c r="F15" s="1887"/>
      <c r="G15" s="1888"/>
      <c r="H15" s="885"/>
      <c r="I15" s="885"/>
      <c r="J15" s="885"/>
      <c r="K15" s="885"/>
      <c r="L15" s="44"/>
      <c r="M15" s="1885"/>
      <c r="N15" s="1886"/>
      <c r="O15" s="1886"/>
      <c r="P15" s="1886"/>
      <c r="Q15" s="1887"/>
      <c r="R15" s="1888"/>
      <c r="S15" s="885"/>
      <c r="T15" s="885"/>
      <c r="U15" s="885"/>
      <c r="V15" s="885"/>
      <c r="W15" s="44"/>
      <c r="X15" s="1593"/>
      <c r="Y15" s="1594"/>
      <c r="Z15" s="1594"/>
      <c r="AA15" s="1594"/>
      <c r="AB15" s="1595"/>
      <c r="AC15" s="174"/>
      <c r="AD15" s="885"/>
      <c r="AE15" s="885"/>
      <c r="AF15" s="885"/>
      <c r="AG15" s="885"/>
      <c r="AH15" s="44"/>
    </row>
    <row r="16" spans="1:34" s="391" customFormat="1" ht="14.45" customHeight="1" x14ac:dyDescent="0.25">
      <c r="A16" s="1269">
        <v>16</v>
      </c>
      <c r="B16" s="1885"/>
      <c r="C16" s="1886"/>
      <c r="D16" s="1886"/>
      <c r="E16" s="1886"/>
      <c r="F16" s="1887"/>
      <c r="G16" s="1888"/>
      <c r="H16" s="885"/>
      <c r="I16" s="885"/>
      <c r="J16" s="885"/>
      <c r="K16" s="885"/>
      <c r="L16" s="44"/>
      <c r="M16" s="1885"/>
      <c r="N16" s="1886"/>
      <c r="O16" s="1886"/>
      <c r="P16" s="1886"/>
      <c r="Q16" s="1887"/>
      <c r="R16" s="1888"/>
      <c r="S16" s="885"/>
      <c r="T16" s="885"/>
      <c r="U16" s="885"/>
      <c r="V16" s="885"/>
      <c r="W16" s="44"/>
      <c r="X16" s="1593"/>
      <c r="Y16" s="1594"/>
      <c r="Z16" s="1594"/>
      <c r="AA16" s="1594"/>
      <c r="AB16" s="1595"/>
      <c r="AC16" s="174"/>
      <c r="AD16" s="885"/>
      <c r="AE16" s="885"/>
      <c r="AF16" s="885"/>
      <c r="AG16" s="885"/>
      <c r="AH16" s="44"/>
    </row>
    <row r="17" spans="1:34" s="391" customFormat="1" ht="14.45" customHeight="1" x14ac:dyDescent="0.25">
      <c r="A17" s="1269">
        <v>17</v>
      </c>
      <c r="B17" s="1490" t="s">
        <v>1049</v>
      </c>
      <c r="C17" s="1491"/>
      <c r="D17" s="1491"/>
      <c r="E17" s="1491"/>
      <c r="F17" s="1491"/>
      <c r="G17" s="1233">
        <f>SUM(G14:G16)</f>
        <v>0</v>
      </c>
      <c r="H17" s="885"/>
      <c r="I17" s="885"/>
      <c r="J17" s="885"/>
      <c r="K17" s="885"/>
      <c r="L17" s="44"/>
      <c r="M17" s="1490" t="s">
        <v>1049</v>
      </c>
      <c r="N17" s="1491"/>
      <c r="O17" s="1491"/>
      <c r="P17" s="1491"/>
      <c r="Q17" s="1491"/>
      <c r="R17" s="1233">
        <f>SUM(R14:R16)</f>
        <v>0</v>
      </c>
      <c r="S17" s="885"/>
      <c r="T17" s="885"/>
      <c r="U17" s="885"/>
      <c r="V17" s="885"/>
      <c r="W17" s="44"/>
      <c r="X17" s="1490" t="s">
        <v>1049</v>
      </c>
      <c r="Y17" s="1491"/>
      <c r="Z17" s="1491"/>
      <c r="AA17" s="1491"/>
      <c r="AB17" s="1491"/>
      <c r="AC17" s="1233">
        <f>SUM(AC14:AC16)</f>
        <v>0</v>
      </c>
      <c r="AD17" s="885"/>
      <c r="AE17" s="885"/>
      <c r="AF17" s="885"/>
      <c r="AG17" s="885"/>
      <c r="AH17" s="44"/>
    </row>
    <row r="18" spans="1:34" s="391" customFormat="1" ht="32.450000000000003" customHeight="1" x14ac:dyDescent="0.25">
      <c r="A18" s="1269">
        <v>18</v>
      </c>
      <c r="B18" s="1589" t="s">
        <v>1033</v>
      </c>
      <c r="C18" s="1590"/>
      <c r="D18" s="507" t="s">
        <v>982</v>
      </c>
      <c r="E18" s="507" t="s">
        <v>848</v>
      </c>
      <c r="F18" s="507" t="s">
        <v>849</v>
      </c>
      <c r="G18" s="213" t="s">
        <v>850</v>
      </c>
      <c r="H18" s="348"/>
      <c r="I18" s="325"/>
      <c r="J18" s="325"/>
      <c r="K18" s="436"/>
      <c r="L18" s="44"/>
      <c r="M18" s="1589" t="s">
        <v>1033</v>
      </c>
      <c r="N18" s="1590"/>
      <c r="O18" s="507" t="s">
        <v>982</v>
      </c>
      <c r="P18" s="507" t="s">
        <v>848</v>
      </c>
      <c r="Q18" s="507" t="s">
        <v>849</v>
      </c>
      <c r="R18" s="213" t="s">
        <v>850</v>
      </c>
      <c r="S18" s="348"/>
      <c r="T18" s="325"/>
      <c r="U18" s="325"/>
      <c r="V18" s="436"/>
      <c r="W18" s="44"/>
      <c r="X18" s="1589" t="s">
        <v>1033</v>
      </c>
      <c r="Y18" s="1590"/>
      <c r="Z18" s="507" t="s">
        <v>982</v>
      </c>
      <c r="AA18" s="507" t="s">
        <v>848</v>
      </c>
      <c r="AB18" s="507" t="s">
        <v>849</v>
      </c>
      <c r="AC18" s="213" t="s">
        <v>850</v>
      </c>
      <c r="AD18" s="348"/>
      <c r="AE18" s="325"/>
      <c r="AF18" s="325"/>
      <c r="AG18" s="436"/>
      <c r="AH18" s="44"/>
    </row>
    <row r="19" spans="1:34" s="391" customFormat="1" ht="14.45" customHeight="1" x14ac:dyDescent="0.25">
      <c r="A19" s="1269">
        <v>19</v>
      </c>
      <c r="B19" s="1889"/>
      <c r="C19" s="1890"/>
      <c r="D19" s="1891"/>
      <c r="E19" s="1892"/>
      <c r="F19" s="1892"/>
      <c r="G19" s="1043">
        <f>D19*(F19-E19)</f>
        <v>0</v>
      </c>
      <c r="H19" s="348"/>
      <c r="I19" s="325"/>
      <c r="J19" s="325"/>
      <c r="K19" s="436"/>
      <c r="L19" s="44"/>
      <c r="M19" s="1889"/>
      <c r="N19" s="1890"/>
      <c r="O19" s="1891"/>
      <c r="P19" s="1892"/>
      <c r="Q19" s="1892"/>
      <c r="R19" s="1043">
        <f>O19*(Q19-P19)</f>
        <v>0</v>
      </c>
      <c r="S19" s="348"/>
      <c r="T19" s="325"/>
      <c r="U19" s="325"/>
      <c r="V19" s="436"/>
      <c r="W19" s="44"/>
      <c r="X19" s="1591"/>
      <c r="Y19" s="1592"/>
      <c r="Z19" s="1040"/>
      <c r="AA19" s="586"/>
      <c r="AB19" s="586"/>
      <c r="AC19" s="1043">
        <f>Z19*(AB19-AA19)</f>
        <v>0</v>
      </c>
      <c r="AD19" s="348"/>
      <c r="AE19" s="325"/>
      <c r="AF19" s="325"/>
      <c r="AG19" s="436"/>
      <c r="AH19" s="44"/>
    </row>
    <row r="20" spans="1:34" s="391" customFormat="1" ht="14.45" customHeight="1" x14ac:dyDescent="0.25">
      <c r="A20" s="1269">
        <v>20</v>
      </c>
      <c r="B20" s="1889"/>
      <c r="C20" s="1890"/>
      <c r="D20" s="1891"/>
      <c r="E20" s="1892"/>
      <c r="F20" s="1892"/>
      <c r="G20" s="1043">
        <f>D20*(F20-E20)</f>
        <v>0</v>
      </c>
      <c r="H20" s="348"/>
      <c r="I20" s="325"/>
      <c r="J20" s="325"/>
      <c r="K20" s="436"/>
      <c r="L20" s="44"/>
      <c r="M20" s="1889"/>
      <c r="N20" s="1890"/>
      <c r="O20" s="1891"/>
      <c r="P20" s="1892"/>
      <c r="Q20" s="1892"/>
      <c r="R20" s="1043">
        <f>O20*(Q20-P20)</f>
        <v>0</v>
      </c>
      <c r="S20" s="348"/>
      <c r="T20" s="325"/>
      <c r="U20" s="325"/>
      <c r="V20" s="436"/>
      <c r="W20" s="44"/>
      <c r="X20" s="1591"/>
      <c r="Y20" s="1592"/>
      <c r="Z20" s="1040"/>
      <c r="AA20" s="586"/>
      <c r="AB20" s="586"/>
      <c r="AC20" s="1043">
        <f>Z20*(AB20-AA20)</f>
        <v>0</v>
      </c>
      <c r="AD20" s="348"/>
      <c r="AE20" s="325"/>
      <c r="AF20" s="325"/>
      <c r="AG20" s="436"/>
      <c r="AH20" s="44"/>
    </row>
    <row r="21" spans="1:34" s="391" customFormat="1" ht="14.45" customHeight="1" x14ac:dyDescent="0.25">
      <c r="A21" s="1269">
        <v>21</v>
      </c>
      <c r="B21" s="1889"/>
      <c r="C21" s="1890"/>
      <c r="D21" s="1891"/>
      <c r="E21" s="1892"/>
      <c r="F21" s="1892"/>
      <c r="G21" s="1043">
        <f>D21*(F21-E21)</f>
        <v>0</v>
      </c>
      <c r="H21" s="348"/>
      <c r="I21" s="325"/>
      <c r="J21" s="325"/>
      <c r="K21" s="436"/>
      <c r="L21" s="44"/>
      <c r="M21" s="1889"/>
      <c r="N21" s="1890"/>
      <c r="O21" s="1891"/>
      <c r="P21" s="1892"/>
      <c r="Q21" s="1892"/>
      <c r="R21" s="1043">
        <f>O21*(Q21-P21)</f>
        <v>0</v>
      </c>
      <c r="S21" s="348"/>
      <c r="T21" s="325"/>
      <c r="U21" s="325"/>
      <c r="V21" s="436"/>
      <c r="W21" s="44"/>
      <c r="X21" s="1591"/>
      <c r="Y21" s="1592"/>
      <c r="Z21" s="1040"/>
      <c r="AA21" s="586"/>
      <c r="AB21" s="586"/>
      <c r="AC21" s="1043">
        <f>Z21*(AB21-AA21)</f>
        <v>0</v>
      </c>
      <c r="AD21" s="348"/>
      <c r="AE21" s="325"/>
      <c r="AF21" s="325"/>
      <c r="AG21" s="436"/>
      <c r="AH21" s="44"/>
    </row>
    <row r="22" spans="1:34" s="391" customFormat="1" ht="14.45" customHeight="1" x14ac:dyDescent="0.25">
      <c r="A22" s="1269">
        <v>22</v>
      </c>
      <c r="B22" s="1889"/>
      <c r="C22" s="1890"/>
      <c r="D22" s="1891"/>
      <c r="E22" s="1892"/>
      <c r="F22" s="1892"/>
      <c r="G22" s="1043">
        <f>D22*(F22-E22)</f>
        <v>0</v>
      </c>
      <c r="H22" s="348"/>
      <c r="I22" s="325"/>
      <c r="J22" s="325"/>
      <c r="K22" s="436"/>
      <c r="L22" s="44"/>
      <c r="M22" s="1889"/>
      <c r="N22" s="1890"/>
      <c r="O22" s="1891"/>
      <c r="P22" s="1892"/>
      <c r="Q22" s="1892"/>
      <c r="R22" s="1043">
        <f>O22*(Q22-P22)</f>
        <v>0</v>
      </c>
      <c r="S22" s="348"/>
      <c r="T22" s="325"/>
      <c r="U22" s="325"/>
      <c r="V22" s="436"/>
      <c r="W22" s="44"/>
      <c r="X22" s="1591"/>
      <c r="Y22" s="1592"/>
      <c r="Z22" s="1040"/>
      <c r="AA22" s="586"/>
      <c r="AB22" s="586"/>
      <c r="AC22" s="1043">
        <f>Z22*(AB22-AA22)</f>
        <v>0</v>
      </c>
      <c r="AD22" s="348"/>
      <c r="AE22" s="325"/>
      <c r="AF22" s="325"/>
      <c r="AG22" s="436"/>
      <c r="AH22" s="44"/>
    </row>
    <row r="23" spans="1:34" s="391" customFormat="1" ht="14.45" customHeight="1" x14ac:dyDescent="0.25">
      <c r="A23" s="1269">
        <v>23</v>
      </c>
      <c r="B23" s="1889"/>
      <c r="C23" s="1890"/>
      <c r="D23" s="1893"/>
      <c r="E23" s="1893"/>
      <c r="F23" s="1893"/>
      <c r="G23" s="1043">
        <f t="shared" ref="G23:G24" si="0">D23*(F23-E23)</f>
        <v>0</v>
      </c>
      <c r="H23" s="348"/>
      <c r="I23" s="325"/>
      <c r="J23" s="325"/>
      <c r="K23" s="436"/>
      <c r="L23" s="44"/>
      <c r="M23" s="1889"/>
      <c r="N23" s="1890"/>
      <c r="O23" s="1893"/>
      <c r="P23" s="1893"/>
      <c r="Q23" s="1893"/>
      <c r="R23" s="1043">
        <f t="shared" ref="R23:R24" si="1">O23*(Q23-P23)</f>
        <v>0</v>
      </c>
      <c r="S23" s="348"/>
      <c r="T23" s="325"/>
      <c r="U23" s="325"/>
      <c r="V23" s="436"/>
      <c r="W23" s="44"/>
      <c r="X23" s="1591"/>
      <c r="Y23" s="1592"/>
      <c r="Z23" s="1039"/>
      <c r="AA23" s="1039"/>
      <c r="AB23" s="1039"/>
      <c r="AC23" s="1043">
        <f t="shared" ref="AC23:AC24" si="2">Z23*(AB23-AA23)</f>
        <v>0</v>
      </c>
      <c r="AD23" s="348"/>
      <c r="AE23" s="325"/>
      <c r="AF23" s="325"/>
      <c r="AG23" s="436"/>
      <c r="AH23" s="44"/>
    </row>
    <row r="24" spans="1:34" s="391" customFormat="1" ht="14.45" customHeight="1" x14ac:dyDescent="0.25">
      <c r="A24" s="1269">
        <v>24</v>
      </c>
      <c r="B24" s="1889"/>
      <c r="C24" s="1890"/>
      <c r="D24" s="1893"/>
      <c r="E24" s="1893"/>
      <c r="F24" s="1893"/>
      <c r="G24" s="1043">
        <f t="shared" si="0"/>
        <v>0</v>
      </c>
      <c r="H24" s="348"/>
      <c r="I24" s="325"/>
      <c r="J24" s="325"/>
      <c r="K24" s="436"/>
      <c r="L24" s="44"/>
      <c r="M24" s="1889"/>
      <c r="N24" s="1890"/>
      <c r="O24" s="1893"/>
      <c r="P24" s="1893"/>
      <c r="Q24" s="1893"/>
      <c r="R24" s="1043">
        <f t="shared" si="1"/>
        <v>0</v>
      </c>
      <c r="S24" s="348"/>
      <c r="T24" s="325"/>
      <c r="U24" s="325"/>
      <c r="V24" s="436"/>
      <c r="W24" s="44"/>
      <c r="X24" s="1591"/>
      <c r="Y24" s="1592"/>
      <c r="Z24" s="1039"/>
      <c r="AA24" s="1039"/>
      <c r="AB24" s="1039"/>
      <c r="AC24" s="1043">
        <f t="shared" si="2"/>
        <v>0</v>
      </c>
      <c r="AD24" s="348"/>
      <c r="AE24" s="325"/>
      <c r="AF24" s="325"/>
      <c r="AG24" s="436"/>
      <c r="AH24" s="44"/>
    </row>
    <row r="25" spans="1:34" s="142" customFormat="1" ht="15.75" thickBot="1" x14ac:dyDescent="0.3">
      <c r="A25" s="1269">
        <v>25</v>
      </c>
      <c r="B25" s="1486" t="s">
        <v>1070</v>
      </c>
      <c r="C25" s="1552"/>
      <c r="D25" s="1552"/>
      <c r="E25" s="1552"/>
      <c r="F25" s="1553"/>
      <c r="G25" s="1234">
        <f>SUM(G19:G24)</f>
        <v>0</v>
      </c>
      <c r="H25" s="60"/>
      <c r="I25" s="400"/>
      <c r="J25" s="400"/>
      <c r="K25" s="1042"/>
      <c r="L25" s="44"/>
      <c r="M25" s="1486" t="s">
        <v>1070</v>
      </c>
      <c r="N25" s="1552"/>
      <c r="O25" s="1552"/>
      <c r="P25" s="1552"/>
      <c r="Q25" s="1553"/>
      <c r="R25" s="1234">
        <f>SUM(R19:R24)</f>
        <v>0</v>
      </c>
      <c r="S25" s="60"/>
      <c r="T25" s="400"/>
      <c r="U25" s="400"/>
      <c r="V25" s="1042"/>
      <c r="W25" s="44"/>
      <c r="X25" s="1486" t="s">
        <v>1070</v>
      </c>
      <c r="Y25" s="1552"/>
      <c r="Z25" s="1552"/>
      <c r="AA25" s="1552"/>
      <c r="AB25" s="1553"/>
      <c r="AC25" s="1234">
        <f>SUM(AC19:AC24)</f>
        <v>0</v>
      </c>
      <c r="AD25" s="60"/>
      <c r="AE25" s="400"/>
      <c r="AF25" s="400"/>
      <c r="AG25" s="1042"/>
      <c r="AH25" s="44"/>
    </row>
    <row r="26" spans="1:34" s="106" customFormat="1" x14ac:dyDescent="0.25">
      <c r="A26" s="1269">
        <v>26</v>
      </c>
      <c r="B26" s="32"/>
      <c r="C26" s="32"/>
      <c r="D26" s="32"/>
      <c r="E26" s="32"/>
      <c r="F26" s="32"/>
      <c r="G26" s="33"/>
      <c r="H26" s="3"/>
      <c r="K26" s="108"/>
      <c r="L26" s="44"/>
      <c r="M26" s="32"/>
      <c r="N26" s="32"/>
      <c r="O26" s="32"/>
      <c r="P26" s="32"/>
      <c r="Q26" s="32"/>
      <c r="R26" s="33"/>
      <c r="S26" s="171"/>
      <c r="T26" s="152"/>
      <c r="U26" s="152"/>
      <c r="V26" s="152"/>
      <c r="W26" s="44"/>
      <c r="X26" s="1044"/>
      <c r="Y26" s="32"/>
      <c r="Z26" s="32"/>
      <c r="AA26" s="32"/>
      <c r="AB26" s="32"/>
      <c r="AC26" s="33"/>
      <c r="AD26" s="203"/>
      <c r="AE26" s="195"/>
      <c r="AF26" s="195"/>
      <c r="AG26" s="195"/>
      <c r="AH26" s="44"/>
    </row>
    <row r="27" spans="1:34" s="106" customFormat="1" ht="15.75" thickBot="1" x14ac:dyDescent="0.3">
      <c r="A27" s="1269">
        <v>27</v>
      </c>
      <c r="B27" s="143"/>
      <c r="C27" s="143"/>
      <c r="D27" s="143"/>
      <c r="E27" s="143"/>
      <c r="F27" s="143"/>
      <c r="G27" s="144"/>
      <c r="H27" s="3"/>
      <c r="K27" s="108"/>
      <c r="L27" s="44"/>
      <c r="M27" s="143"/>
      <c r="N27" s="143"/>
      <c r="O27" s="143"/>
      <c r="P27" s="143"/>
      <c r="Q27" s="143"/>
      <c r="R27" s="144"/>
      <c r="S27" s="171"/>
      <c r="T27" s="152"/>
      <c r="U27" s="152"/>
      <c r="V27" s="152"/>
      <c r="W27" s="44"/>
      <c r="X27" s="1045"/>
      <c r="Y27" s="143"/>
      <c r="Z27" s="143"/>
      <c r="AA27" s="143"/>
      <c r="AB27" s="143"/>
      <c r="AC27" s="144"/>
      <c r="AD27" s="203"/>
      <c r="AE27" s="195"/>
      <c r="AF27" s="195"/>
      <c r="AG27" s="195"/>
      <c r="AH27" s="44"/>
    </row>
    <row r="28" spans="1:34" ht="18.75" x14ac:dyDescent="0.3">
      <c r="A28" s="1269">
        <v>28</v>
      </c>
      <c r="B28" s="1510" t="s">
        <v>113</v>
      </c>
      <c r="C28" s="1511"/>
      <c r="D28" s="1511"/>
      <c r="E28" s="1511"/>
      <c r="F28" s="1511"/>
      <c r="G28" s="1512"/>
      <c r="M28" s="1510" t="s">
        <v>113</v>
      </c>
      <c r="N28" s="1511"/>
      <c r="O28" s="1511"/>
      <c r="P28" s="1511"/>
      <c r="Q28" s="1511"/>
      <c r="R28" s="1512"/>
      <c r="S28" s="152"/>
      <c r="T28" s="152"/>
      <c r="U28" s="152"/>
      <c r="V28" s="152"/>
      <c r="X28" s="1510" t="s">
        <v>113</v>
      </c>
      <c r="Y28" s="1511"/>
      <c r="Z28" s="1511"/>
      <c r="AA28" s="1511"/>
      <c r="AB28" s="1511"/>
      <c r="AC28" s="1512"/>
    </row>
    <row r="29" spans="1:34" ht="60" customHeight="1" x14ac:dyDescent="0.25">
      <c r="A29" s="1269">
        <v>29</v>
      </c>
      <c r="B29" s="20" t="s">
        <v>10</v>
      </c>
      <c r="C29" s="17" t="s">
        <v>13</v>
      </c>
      <c r="D29" s="17" t="s">
        <v>14</v>
      </c>
      <c r="E29" s="17" t="s">
        <v>122</v>
      </c>
      <c r="F29" s="21" t="s">
        <v>15</v>
      </c>
      <c r="G29" s="22" t="s">
        <v>123</v>
      </c>
      <c r="M29" s="20" t="s">
        <v>10</v>
      </c>
      <c r="N29" s="17" t="s">
        <v>13</v>
      </c>
      <c r="O29" s="17" t="s">
        <v>14</v>
      </c>
      <c r="P29" s="17" t="s">
        <v>122</v>
      </c>
      <c r="Q29" s="150" t="s">
        <v>15</v>
      </c>
      <c r="R29" s="22" t="s">
        <v>123</v>
      </c>
      <c r="S29" s="152"/>
      <c r="T29" s="152"/>
      <c r="U29" s="152"/>
      <c r="V29" s="152"/>
      <c r="X29" s="20" t="s">
        <v>10</v>
      </c>
      <c r="Y29" s="507" t="s">
        <v>13</v>
      </c>
      <c r="Z29" s="507" t="s">
        <v>14</v>
      </c>
      <c r="AA29" s="507" t="s">
        <v>122</v>
      </c>
      <c r="AB29" s="150" t="s">
        <v>15</v>
      </c>
      <c r="AC29" s="213" t="s">
        <v>123</v>
      </c>
    </row>
    <row r="30" spans="1:34" x14ac:dyDescent="0.25">
      <c r="A30" s="1269">
        <v>30</v>
      </c>
      <c r="B30" s="1894"/>
      <c r="C30" s="1895"/>
      <c r="D30" s="1895"/>
      <c r="E30" s="9">
        <f>C30*D30</f>
        <v>0</v>
      </c>
      <c r="F30" s="1895"/>
      <c r="G30" s="23">
        <f>C30*F30</f>
        <v>0</v>
      </c>
      <c r="M30" s="1894"/>
      <c r="N30" s="1895"/>
      <c r="O30" s="1895"/>
      <c r="P30" s="168">
        <f>N30*O30</f>
        <v>0</v>
      </c>
      <c r="Q30" s="1895"/>
      <c r="R30" s="23">
        <f>N30*Q30</f>
        <v>0</v>
      </c>
      <c r="S30" s="152"/>
      <c r="T30" s="152"/>
      <c r="U30" s="152"/>
      <c r="V30" s="152"/>
      <c r="X30" s="999"/>
      <c r="Y30" s="1000"/>
      <c r="Z30" s="1000"/>
      <c r="AA30" s="1002">
        <f>Y30*Z30</f>
        <v>0</v>
      </c>
      <c r="AB30" s="1000"/>
      <c r="AC30" s="23">
        <f>Y30*AB30</f>
        <v>0</v>
      </c>
    </row>
    <row r="31" spans="1:34" x14ac:dyDescent="0.25">
      <c r="A31" s="1269">
        <v>31</v>
      </c>
      <c r="B31" s="1894"/>
      <c r="C31" s="1895"/>
      <c r="D31" s="1895"/>
      <c r="E31" s="9">
        <f t="shared" ref="E31:E35" si="3">C31*D31</f>
        <v>0</v>
      </c>
      <c r="F31" s="1895"/>
      <c r="G31" s="23">
        <f t="shared" ref="G31:G35" si="4">C31*F31</f>
        <v>0</v>
      </c>
      <c r="M31" s="1894"/>
      <c r="N31" s="1895"/>
      <c r="O31" s="1895"/>
      <c r="P31" s="168">
        <f t="shared" ref="P31:P35" si="5">N31*O31</f>
        <v>0</v>
      </c>
      <c r="Q31" s="1895"/>
      <c r="R31" s="23">
        <f t="shared" ref="R31:R35" si="6">N31*Q31</f>
        <v>0</v>
      </c>
      <c r="S31" s="152"/>
      <c r="T31" s="152"/>
      <c r="U31" s="152"/>
      <c r="V31" s="152"/>
      <c r="X31" s="999"/>
      <c r="Y31" s="1000"/>
      <c r="Z31" s="1000"/>
      <c r="AA31" s="1002">
        <f t="shared" ref="AA31:AA35" si="7">Y31*Z31</f>
        <v>0</v>
      </c>
      <c r="AB31" s="1000"/>
      <c r="AC31" s="23">
        <f t="shared" ref="AC31:AC35" si="8">Y31*AB31</f>
        <v>0</v>
      </c>
    </row>
    <row r="32" spans="1:34" x14ac:dyDescent="0.25">
      <c r="A32" s="1269">
        <v>32</v>
      </c>
      <c r="B32" s="1894"/>
      <c r="C32" s="1895"/>
      <c r="D32" s="1895"/>
      <c r="E32" s="9">
        <f t="shared" si="3"/>
        <v>0</v>
      </c>
      <c r="F32" s="1895"/>
      <c r="G32" s="23">
        <f t="shared" si="4"/>
        <v>0</v>
      </c>
      <c r="M32" s="1894"/>
      <c r="N32" s="1895"/>
      <c r="O32" s="1895"/>
      <c r="P32" s="168">
        <f t="shared" si="5"/>
        <v>0</v>
      </c>
      <c r="Q32" s="1895"/>
      <c r="R32" s="23">
        <f t="shared" si="6"/>
        <v>0</v>
      </c>
      <c r="S32" s="152"/>
      <c r="T32" s="152"/>
      <c r="U32" s="152"/>
      <c r="V32" s="152"/>
      <c r="X32" s="999"/>
      <c r="Y32" s="1000"/>
      <c r="Z32" s="1000"/>
      <c r="AA32" s="1002">
        <f t="shared" si="7"/>
        <v>0</v>
      </c>
      <c r="AB32" s="1000"/>
      <c r="AC32" s="23">
        <f t="shared" si="8"/>
        <v>0</v>
      </c>
    </row>
    <row r="33" spans="1:33" x14ac:dyDescent="0.25">
      <c r="A33" s="1269">
        <v>33</v>
      </c>
      <c r="B33" s="1894"/>
      <c r="C33" s="1895"/>
      <c r="D33" s="1895"/>
      <c r="E33" s="9">
        <f t="shared" si="3"/>
        <v>0</v>
      </c>
      <c r="F33" s="1895"/>
      <c r="G33" s="23">
        <f t="shared" si="4"/>
        <v>0</v>
      </c>
      <c r="M33" s="1894"/>
      <c r="N33" s="1895"/>
      <c r="O33" s="1895"/>
      <c r="P33" s="168">
        <f t="shared" si="5"/>
        <v>0</v>
      </c>
      <c r="Q33" s="1895"/>
      <c r="R33" s="23">
        <f t="shared" si="6"/>
        <v>0</v>
      </c>
      <c r="S33" s="152"/>
      <c r="T33" s="152"/>
      <c r="U33" s="152"/>
      <c r="V33" s="152"/>
      <c r="X33" s="999"/>
      <c r="Y33" s="1000"/>
      <c r="Z33" s="1000"/>
      <c r="AA33" s="1002">
        <f t="shared" si="7"/>
        <v>0</v>
      </c>
      <c r="AB33" s="1000"/>
      <c r="AC33" s="23">
        <f t="shared" si="8"/>
        <v>0</v>
      </c>
    </row>
    <row r="34" spans="1:33" x14ac:dyDescent="0.25">
      <c r="A34" s="1269">
        <v>34</v>
      </c>
      <c r="B34" s="1894"/>
      <c r="C34" s="1895"/>
      <c r="D34" s="1895"/>
      <c r="E34" s="9">
        <f t="shared" si="3"/>
        <v>0</v>
      </c>
      <c r="F34" s="1895"/>
      <c r="G34" s="23">
        <f t="shared" si="4"/>
        <v>0</v>
      </c>
      <c r="M34" s="1894"/>
      <c r="N34" s="1895"/>
      <c r="O34" s="1895"/>
      <c r="P34" s="168">
        <f t="shared" si="5"/>
        <v>0</v>
      </c>
      <c r="Q34" s="1895"/>
      <c r="R34" s="23">
        <f t="shared" si="6"/>
        <v>0</v>
      </c>
      <c r="S34" s="152"/>
      <c r="T34" s="152"/>
      <c r="U34" s="152"/>
      <c r="V34" s="152"/>
      <c r="X34" s="999"/>
      <c r="Y34" s="1000"/>
      <c r="Z34" s="1000"/>
      <c r="AA34" s="1002">
        <f t="shared" si="7"/>
        <v>0</v>
      </c>
      <c r="AB34" s="1000"/>
      <c r="AC34" s="23">
        <f t="shared" si="8"/>
        <v>0</v>
      </c>
    </row>
    <row r="35" spans="1:33" x14ac:dyDescent="0.25">
      <c r="A35" s="1269">
        <v>35</v>
      </c>
      <c r="B35" s="1894"/>
      <c r="C35" s="1895"/>
      <c r="D35" s="1895"/>
      <c r="E35" s="9">
        <f t="shared" si="3"/>
        <v>0</v>
      </c>
      <c r="F35" s="1895"/>
      <c r="G35" s="23">
        <f t="shared" si="4"/>
        <v>0</v>
      </c>
      <c r="M35" s="1894"/>
      <c r="N35" s="1895"/>
      <c r="O35" s="1895"/>
      <c r="P35" s="168">
        <f t="shared" si="5"/>
        <v>0</v>
      </c>
      <c r="Q35" s="1895"/>
      <c r="R35" s="23">
        <f t="shared" si="6"/>
        <v>0</v>
      </c>
      <c r="S35" s="152"/>
      <c r="T35" s="152"/>
      <c r="U35" s="152"/>
      <c r="V35" s="152"/>
      <c r="X35" s="999"/>
      <c r="Y35" s="1000"/>
      <c r="Z35" s="1000"/>
      <c r="AA35" s="1002">
        <f t="shared" si="7"/>
        <v>0</v>
      </c>
      <c r="AB35" s="1000"/>
      <c r="AC35" s="23">
        <f t="shared" si="8"/>
        <v>0</v>
      </c>
    </row>
    <row r="36" spans="1:33" ht="15.75" thickBot="1" x14ac:dyDescent="0.3">
      <c r="A36" s="1269">
        <v>36</v>
      </c>
      <c r="B36" s="1486" t="s">
        <v>1050</v>
      </c>
      <c r="C36" s="1552"/>
      <c r="D36" s="1553"/>
      <c r="E36" s="1235">
        <f>SUM(E30:E35)</f>
        <v>0</v>
      </c>
      <c r="F36" s="24"/>
      <c r="G36" s="1236">
        <f>SUM(G30:G35)</f>
        <v>0</v>
      </c>
      <c r="M36" s="1486" t="s">
        <v>1050</v>
      </c>
      <c r="N36" s="1552"/>
      <c r="O36" s="1553"/>
      <c r="P36" s="1235">
        <f>SUM(P30:P35)</f>
        <v>0</v>
      </c>
      <c r="Q36" s="149"/>
      <c r="R36" s="1236">
        <f>SUM(R30:R35)</f>
        <v>0</v>
      </c>
      <c r="S36" s="152"/>
      <c r="T36" s="152"/>
      <c r="U36" s="152"/>
      <c r="V36" s="152"/>
      <c r="X36" s="1486" t="s">
        <v>1050</v>
      </c>
      <c r="Y36" s="1552"/>
      <c r="Z36" s="1553"/>
      <c r="AA36" s="1235">
        <f>SUM(AA30:AA35)</f>
        <v>0</v>
      </c>
      <c r="AB36" s="149"/>
      <c r="AC36" s="1236">
        <f>SUM(AC30:AC35)</f>
        <v>0</v>
      </c>
    </row>
    <row r="37" spans="1:33" x14ac:dyDescent="0.25">
      <c r="A37" s="1269">
        <v>37</v>
      </c>
      <c r="M37" s="152"/>
      <c r="N37" s="152"/>
      <c r="O37" s="152"/>
      <c r="P37" s="152"/>
      <c r="Q37" s="152"/>
      <c r="R37" s="152"/>
      <c r="S37" s="152"/>
      <c r="T37" s="152"/>
      <c r="U37" s="152"/>
      <c r="V37" s="152"/>
    </row>
    <row r="38" spans="1:33" ht="15.75" thickBot="1" x14ac:dyDescent="0.3">
      <c r="A38" s="1269">
        <v>38</v>
      </c>
      <c r="M38" s="152"/>
      <c r="N38" s="152"/>
      <c r="O38" s="152"/>
      <c r="P38" s="152"/>
      <c r="Q38" s="152"/>
      <c r="R38" s="152"/>
      <c r="S38" s="152"/>
      <c r="T38" s="152"/>
      <c r="U38" s="152"/>
      <c r="V38" s="152"/>
    </row>
    <row r="39" spans="1:33" ht="21" x14ac:dyDescent="0.3">
      <c r="A39" s="1269">
        <v>39</v>
      </c>
      <c r="B39" s="1541" t="s">
        <v>114</v>
      </c>
      <c r="C39" s="1542"/>
      <c r="D39" s="1542"/>
      <c r="E39" s="1542"/>
      <c r="F39" s="1542"/>
      <c r="G39" s="1542"/>
      <c r="H39" s="1542"/>
      <c r="I39" s="1542"/>
      <c r="J39" s="1543"/>
      <c r="M39" s="1507" t="s">
        <v>114</v>
      </c>
      <c r="N39" s="1508"/>
      <c r="O39" s="1508"/>
      <c r="P39" s="1508"/>
      <c r="Q39" s="1508"/>
      <c r="R39" s="1508"/>
      <c r="S39" s="1508"/>
      <c r="T39" s="1508"/>
      <c r="U39" s="1509"/>
      <c r="V39" s="152"/>
      <c r="X39" s="1507" t="s">
        <v>114</v>
      </c>
      <c r="Y39" s="1508"/>
      <c r="Z39" s="1508"/>
      <c r="AA39" s="1508"/>
      <c r="AB39" s="1508"/>
      <c r="AC39" s="1508"/>
      <c r="AD39" s="1508"/>
      <c r="AE39" s="1508"/>
      <c r="AF39" s="1509"/>
    </row>
    <row r="40" spans="1:33" ht="80.25" customHeight="1" x14ac:dyDescent="0.25">
      <c r="A40" s="1269">
        <v>40</v>
      </c>
      <c r="B40" s="20" t="s">
        <v>16</v>
      </c>
      <c r="C40" s="17" t="s">
        <v>17</v>
      </c>
      <c r="D40" s="17" t="s">
        <v>508</v>
      </c>
      <c r="E40" s="17" t="s">
        <v>18</v>
      </c>
      <c r="F40" s="17" t="s">
        <v>509</v>
      </c>
      <c r="G40" s="145" t="s">
        <v>510</v>
      </c>
      <c r="H40" s="231" t="s">
        <v>511</v>
      </c>
      <c r="I40" s="230" t="s">
        <v>251</v>
      </c>
      <c r="J40" s="213" t="s">
        <v>1075</v>
      </c>
      <c r="K40" s="25"/>
      <c r="M40" s="20" t="s">
        <v>16</v>
      </c>
      <c r="N40" s="17" t="s">
        <v>17</v>
      </c>
      <c r="O40" s="342" t="s">
        <v>508</v>
      </c>
      <c r="P40" s="17" t="s">
        <v>18</v>
      </c>
      <c r="Q40" s="342" t="s">
        <v>509</v>
      </c>
      <c r="R40" s="145" t="s">
        <v>510</v>
      </c>
      <c r="S40" s="231" t="s">
        <v>511</v>
      </c>
      <c r="T40" s="230" t="s">
        <v>251</v>
      </c>
      <c r="U40" s="213" t="s">
        <v>1075</v>
      </c>
      <c r="V40" s="25"/>
      <c r="X40" s="20" t="s">
        <v>16</v>
      </c>
      <c r="Y40" s="17" t="s">
        <v>17</v>
      </c>
      <c r="Z40" s="342" t="s">
        <v>508</v>
      </c>
      <c r="AA40" s="17" t="s">
        <v>18</v>
      </c>
      <c r="AB40" s="342" t="s">
        <v>509</v>
      </c>
      <c r="AC40" s="145" t="s">
        <v>510</v>
      </c>
      <c r="AD40" s="231" t="s">
        <v>511</v>
      </c>
      <c r="AE40" s="230" t="s">
        <v>251</v>
      </c>
      <c r="AF40" s="213" t="s">
        <v>1075</v>
      </c>
      <c r="AG40" s="25"/>
    </row>
    <row r="41" spans="1:33" x14ac:dyDescent="0.25">
      <c r="A41" s="1269">
        <v>41</v>
      </c>
      <c r="B41" s="1894"/>
      <c r="C41" s="1896"/>
      <c r="D41" s="1897"/>
      <c r="E41" s="1897"/>
      <c r="F41" s="1897"/>
      <c r="G41" s="1897"/>
      <c r="H41" s="1898"/>
      <c r="I41" s="1899"/>
      <c r="J41" s="1900"/>
      <c r="M41" s="1894"/>
      <c r="N41" s="1896"/>
      <c r="O41" s="1897"/>
      <c r="P41" s="1897"/>
      <c r="Q41" s="1897"/>
      <c r="R41" s="1897"/>
      <c r="S41" s="1898"/>
      <c r="T41" s="1899"/>
      <c r="U41" s="1900"/>
      <c r="V41" s="152"/>
      <c r="X41" s="578"/>
      <c r="Y41" s="122"/>
      <c r="Z41" s="581"/>
      <c r="AA41" s="581"/>
      <c r="AB41" s="581"/>
      <c r="AC41" s="581"/>
      <c r="AD41" s="124"/>
      <c r="AE41" s="585"/>
      <c r="AF41" s="233"/>
    </row>
    <row r="42" spans="1:33" x14ac:dyDescent="0.25">
      <c r="A42" s="1269">
        <v>42</v>
      </c>
      <c r="B42" s="1894"/>
      <c r="C42" s="1896"/>
      <c r="D42" s="1897"/>
      <c r="E42" s="1897"/>
      <c r="F42" s="1897"/>
      <c r="G42" s="1897"/>
      <c r="H42" s="1898"/>
      <c r="I42" s="1899"/>
      <c r="J42" s="1900"/>
      <c r="M42" s="1894"/>
      <c r="N42" s="1896"/>
      <c r="O42" s="1897"/>
      <c r="P42" s="1897"/>
      <c r="Q42" s="1897"/>
      <c r="R42" s="1897"/>
      <c r="S42" s="1898"/>
      <c r="T42" s="1899"/>
      <c r="U42" s="1900"/>
      <c r="V42" s="152"/>
      <c r="X42" s="578"/>
      <c r="Y42" s="122"/>
      <c r="Z42" s="581"/>
      <c r="AA42" s="581"/>
      <c r="AB42" s="581"/>
      <c r="AC42" s="581"/>
      <c r="AD42" s="124"/>
      <c r="AE42" s="585"/>
      <c r="AF42" s="233"/>
    </row>
    <row r="43" spans="1:33" x14ac:dyDescent="0.25">
      <c r="A43" s="1269">
        <v>43</v>
      </c>
      <c r="B43" s="1894"/>
      <c r="C43" s="1896"/>
      <c r="D43" s="1897"/>
      <c r="E43" s="1897"/>
      <c r="F43" s="1897"/>
      <c r="G43" s="1897"/>
      <c r="H43" s="1898"/>
      <c r="I43" s="1899"/>
      <c r="J43" s="1900"/>
      <c r="M43" s="1894"/>
      <c r="N43" s="1896"/>
      <c r="O43" s="1897"/>
      <c r="P43" s="1897"/>
      <c r="Q43" s="1897"/>
      <c r="R43" s="1897"/>
      <c r="S43" s="1897"/>
      <c r="T43" s="1899"/>
      <c r="U43" s="1900"/>
      <c r="V43" s="152"/>
      <c r="X43" s="189"/>
      <c r="Y43" s="122"/>
      <c r="Z43" s="123"/>
      <c r="AA43" s="123"/>
      <c r="AB43" s="123"/>
      <c r="AC43" s="123"/>
      <c r="AD43" s="124"/>
      <c r="AE43" s="232"/>
      <c r="AF43" s="233"/>
    </row>
    <row r="44" spans="1:33" x14ac:dyDescent="0.25">
      <c r="A44" s="1269">
        <v>44</v>
      </c>
      <c r="B44" s="1894"/>
      <c r="C44" s="1896"/>
      <c r="D44" s="1897"/>
      <c r="E44" s="1897"/>
      <c r="F44" s="1897"/>
      <c r="G44" s="1897"/>
      <c r="H44" s="1898"/>
      <c r="I44" s="1899"/>
      <c r="J44" s="1900"/>
      <c r="M44" s="1894"/>
      <c r="N44" s="1896"/>
      <c r="O44" s="1897"/>
      <c r="P44" s="1897"/>
      <c r="Q44" s="1897"/>
      <c r="R44" s="1897"/>
      <c r="S44" s="1897"/>
      <c r="T44" s="1899"/>
      <c r="U44" s="1900"/>
      <c r="V44" s="152"/>
      <c r="X44" s="189"/>
      <c r="Y44" s="122"/>
      <c r="Z44" s="123"/>
      <c r="AA44" s="123"/>
      <c r="AB44" s="123"/>
      <c r="AC44" s="123"/>
      <c r="AD44" s="124"/>
      <c r="AE44" s="232"/>
      <c r="AF44" s="233"/>
    </row>
    <row r="45" spans="1:33" x14ac:dyDescent="0.25">
      <c r="A45" s="1269">
        <v>45</v>
      </c>
      <c r="B45" s="1894"/>
      <c r="C45" s="1896"/>
      <c r="D45" s="1897"/>
      <c r="E45" s="1897"/>
      <c r="F45" s="1897"/>
      <c r="G45" s="1897"/>
      <c r="H45" s="1898"/>
      <c r="I45" s="1899"/>
      <c r="J45" s="1900"/>
      <c r="M45" s="1894"/>
      <c r="N45" s="1896"/>
      <c r="O45" s="1897"/>
      <c r="P45" s="1897"/>
      <c r="Q45" s="1897"/>
      <c r="R45" s="1897"/>
      <c r="S45" s="1897"/>
      <c r="T45" s="1899"/>
      <c r="U45" s="1900"/>
      <c r="V45" s="152"/>
      <c r="X45" s="189"/>
      <c r="Y45" s="122"/>
      <c r="Z45" s="123"/>
      <c r="AA45" s="123"/>
      <c r="AB45" s="123"/>
      <c r="AC45" s="123"/>
      <c r="AD45" s="124"/>
      <c r="AE45" s="232"/>
      <c r="AF45" s="233"/>
    </row>
    <row r="46" spans="1:33" x14ac:dyDescent="0.25">
      <c r="A46" s="1269">
        <v>46</v>
      </c>
      <c r="B46" s="1894"/>
      <c r="C46" s="1896"/>
      <c r="D46" s="1897"/>
      <c r="E46" s="1897"/>
      <c r="F46" s="1897"/>
      <c r="G46" s="1897"/>
      <c r="H46" s="1898"/>
      <c r="I46" s="1899"/>
      <c r="J46" s="1900"/>
      <c r="M46" s="1894"/>
      <c r="N46" s="1896"/>
      <c r="O46" s="1897"/>
      <c r="P46" s="1897"/>
      <c r="Q46" s="1897"/>
      <c r="R46" s="1897"/>
      <c r="S46" s="1897"/>
      <c r="T46" s="1899"/>
      <c r="U46" s="1900"/>
      <c r="V46" s="152"/>
      <c r="X46" s="189"/>
      <c r="Y46" s="122"/>
      <c r="Z46" s="123"/>
      <c r="AA46" s="123"/>
      <c r="AB46" s="123"/>
      <c r="AC46" s="123"/>
      <c r="AD46" s="124"/>
      <c r="AE46" s="232"/>
      <c r="AF46" s="233"/>
    </row>
    <row r="47" spans="1:33" ht="15.75" thickBot="1" x14ac:dyDescent="0.3">
      <c r="A47" s="1269">
        <v>47</v>
      </c>
      <c r="B47" s="1894"/>
      <c r="C47" s="1896"/>
      <c r="D47" s="1897"/>
      <c r="E47" s="1897"/>
      <c r="F47" s="1897"/>
      <c r="G47" s="1897"/>
      <c r="H47" s="1898"/>
      <c r="I47" s="1901"/>
      <c r="J47" s="1902"/>
      <c r="M47" s="1894"/>
      <c r="N47" s="1896"/>
      <c r="O47" s="1897"/>
      <c r="P47" s="1897"/>
      <c r="Q47" s="1897"/>
      <c r="R47" s="1897"/>
      <c r="S47" s="1897"/>
      <c r="T47" s="1901"/>
      <c r="U47" s="1902"/>
      <c r="V47" s="152"/>
      <c r="X47" s="189"/>
      <c r="Y47" s="122"/>
      <c r="Z47" s="123"/>
      <c r="AA47" s="123"/>
      <c r="AB47" s="123"/>
      <c r="AC47" s="123"/>
      <c r="AD47" s="124"/>
      <c r="AE47" s="234"/>
      <c r="AF47" s="235"/>
    </row>
    <row r="48" spans="1:33" x14ac:dyDescent="0.25">
      <c r="A48" s="1269">
        <v>48</v>
      </c>
      <c r="B48" s="1521" t="s">
        <v>1051</v>
      </c>
      <c r="C48" s="1522"/>
      <c r="D48" s="1522"/>
      <c r="E48" s="1585">
        <f>SUM(E41:F47)</f>
        <v>0</v>
      </c>
      <c r="F48" s="1586"/>
      <c r="G48" s="161">
        <f>SUM(G41:G47)</f>
        <v>0</v>
      </c>
      <c r="H48" s="1233">
        <f>SUM(H41:H47)</f>
        <v>0</v>
      </c>
      <c r="M48" s="1521" t="s">
        <v>1051</v>
      </c>
      <c r="N48" s="1522"/>
      <c r="O48" s="1522"/>
      <c r="P48" s="1585">
        <f>SUM(P41:Q47)</f>
        <v>0</v>
      </c>
      <c r="Q48" s="1586"/>
      <c r="R48" s="161">
        <f>SUM(R41:R47)</f>
        <v>0</v>
      </c>
      <c r="S48" s="1233">
        <f>SUM(S41:S47)</f>
        <v>0</v>
      </c>
      <c r="T48" s="152"/>
      <c r="U48" s="152"/>
      <c r="V48" s="152"/>
      <c r="X48" s="1521" t="s">
        <v>1051</v>
      </c>
      <c r="Y48" s="1522"/>
      <c r="Z48" s="1522"/>
      <c r="AA48" s="1585">
        <f>SUM(AA41:AB47)</f>
        <v>0</v>
      </c>
      <c r="AB48" s="1586"/>
      <c r="AC48" s="161">
        <f>SUM(AC41:AC47)</f>
        <v>0</v>
      </c>
      <c r="AD48" s="1233">
        <f>SUM(AD41:AD47)</f>
        <v>0</v>
      </c>
    </row>
    <row r="49" spans="1:34" s="139" customFormat="1" x14ac:dyDescent="0.25">
      <c r="A49" s="1269">
        <v>49</v>
      </c>
      <c r="B49" s="1605"/>
      <c r="C49" s="1606"/>
      <c r="D49" s="1607"/>
      <c r="E49" s="1576" t="s">
        <v>115</v>
      </c>
      <c r="F49" s="1576"/>
      <c r="G49" s="161" t="s">
        <v>116</v>
      </c>
      <c r="H49" s="1233" t="s">
        <v>117</v>
      </c>
      <c r="L49" s="44"/>
      <c r="M49" s="1605"/>
      <c r="N49" s="1606"/>
      <c r="O49" s="1607"/>
      <c r="P49" s="1576" t="s">
        <v>115</v>
      </c>
      <c r="Q49" s="1576"/>
      <c r="R49" s="161" t="s">
        <v>116</v>
      </c>
      <c r="S49" s="1233" t="s">
        <v>117</v>
      </c>
      <c r="T49" s="152"/>
      <c r="U49" s="152"/>
      <c r="V49" s="152"/>
      <c r="W49" s="44"/>
      <c r="X49" s="1573"/>
      <c r="Y49" s="1574"/>
      <c r="Z49" s="1575"/>
      <c r="AA49" s="1576" t="s">
        <v>115</v>
      </c>
      <c r="AB49" s="1576"/>
      <c r="AC49" s="161" t="s">
        <v>116</v>
      </c>
      <c r="AD49" s="1233" t="s">
        <v>117</v>
      </c>
      <c r="AE49" s="195"/>
      <c r="AF49" s="195"/>
      <c r="AG49" s="195"/>
      <c r="AH49" s="44"/>
    </row>
    <row r="50" spans="1:34" s="106" customFormat="1" ht="31.9" customHeight="1" thickBot="1" x14ac:dyDescent="0.3">
      <c r="A50" s="1269">
        <v>50</v>
      </c>
      <c r="B50" s="1577" t="s">
        <v>121</v>
      </c>
      <c r="C50" s="1578"/>
      <c r="D50" s="1578"/>
      <c r="E50" s="1578"/>
      <c r="F50" s="1578"/>
      <c r="G50" s="1578"/>
      <c r="H50" s="1579"/>
      <c r="K50" s="108"/>
      <c r="L50" s="44"/>
      <c r="M50" s="1577" t="s">
        <v>121</v>
      </c>
      <c r="N50" s="1578"/>
      <c r="O50" s="1578"/>
      <c r="P50" s="1578"/>
      <c r="Q50" s="1578"/>
      <c r="R50" s="1578"/>
      <c r="S50" s="1579"/>
      <c r="T50" s="152"/>
      <c r="U50" s="152"/>
      <c r="V50" s="152"/>
      <c r="W50" s="44"/>
      <c r="X50" s="1577" t="s">
        <v>121</v>
      </c>
      <c r="Y50" s="1578"/>
      <c r="Z50" s="1578"/>
      <c r="AA50" s="1578"/>
      <c r="AB50" s="1578"/>
      <c r="AC50" s="1578"/>
      <c r="AD50" s="1579"/>
      <c r="AE50" s="195"/>
      <c r="AF50" s="195"/>
      <c r="AG50" s="195"/>
      <c r="AH50" s="44"/>
    </row>
    <row r="51" spans="1:34" s="139" customFormat="1" ht="16.149999999999999" customHeight="1" x14ac:dyDescent="0.25">
      <c r="A51" s="1269">
        <v>51</v>
      </c>
      <c r="B51" s="138"/>
      <c r="C51" s="138"/>
      <c r="D51" s="138"/>
      <c r="E51" s="138"/>
      <c r="F51" s="138"/>
      <c r="G51" s="138"/>
      <c r="H51" s="3"/>
      <c r="L51" s="44"/>
      <c r="M51" s="138"/>
      <c r="N51" s="138"/>
      <c r="O51" s="138"/>
      <c r="P51" s="138"/>
      <c r="Q51" s="138"/>
      <c r="R51" s="138"/>
      <c r="S51" s="171"/>
      <c r="T51" s="152"/>
      <c r="U51" s="152"/>
      <c r="V51" s="152"/>
      <c r="W51" s="44"/>
      <c r="X51" s="138"/>
      <c r="Y51" s="138"/>
      <c r="Z51" s="138"/>
      <c r="AA51" s="138"/>
      <c r="AB51" s="138"/>
      <c r="AC51" s="138"/>
      <c r="AD51" s="193"/>
      <c r="AE51" s="195"/>
      <c r="AF51" s="195"/>
      <c r="AG51" s="195"/>
      <c r="AH51" s="44"/>
    </row>
    <row r="52" spans="1:34" x14ac:dyDescent="0.25">
      <c r="A52" s="1269">
        <v>52</v>
      </c>
      <c r="M52" s="152"/>
      <c r="N52" s="152"/>
      <c r="O52" s="152"/>
      <c r="P52" s="152"/>
      <c r="Q52" s="152"/>
      <c r="R52" s="152"/>
      <c r="S52" s="152"/>
      <c r="T52" s="152"/>
      <c r="U52" s="152"/>
      <c r="V52" s="152"/>
    </row>
    <row r="53" spans="1:34" ht="75.599999999999994" customHeight="1" x14ac:dyDescent="0.25">
      <c r="A53" s="1269">
        <v>53</v>
      </c>
      <c r="B53" s="1580" t="s">
        <v>1151</v>
      </c>
      <c r="C53" s="1581"/>
      <c r="D53" s="1581"/>
      <c r="E53" s="1581"/>
      <c r="F53" s="1581"/>
      <c r="G53" s="1581"/>
      <c r="M53" s="1580" t="s">
        <v>1151</v>
      </c>
      <c r="N53" s="1581"/>
      <c r="O53" s="1581"/>
      <c r="P53" s="1581"/>
      <c r="Q53" s="1581"/>
      <c r="R53" s="1581"/>
      <c r="S53" s="391"/>
      <c r="T53" s="391"/>
      <c r="U53" s="391"/>
      <c r="V53" s="391"/>
      <c r="X53" s="1580" t="s">
        <v>1151</v>
      </c>
      <c r="Y53" s="1581"/>
      <c r="Z53" s="1581"/>
      <c r="AA53" s="1581"/>
      <c r="AB53" s="1581"/>
      <c r="AC53" s="1581"/>
      <c r="AD53" s="391"/>
      <c r="AE53" s="391"/>
      <c r="AF53" s="391"/>
      <c r="AG53" s="391"/>
    </row>
    <row r="54" spans="1:34" ht="61.15" customHeight="1" x14ac:dyDescent="0.3">
      <c r="A54" s="1269">
        <v>54</v>
      </c>
      <c r="B54" s="110" t="s">
        <v>878</v>
      </c>
      <c r="C54" s="17" t="s">
        <v>19</v>
      </c>
      <c r="D54" s="17" t="s">
        <v>20</v>
      </c>
      <c r="E54" s="17" t="s">
        <v>882</v>
      </c>
      <c r="F54" s="22" t="s">
        <v>818</v>
      </c>
      <c r="G54" s="22" t="s">
        <v>120</v>
      </c>
      <c r="M54" s="110" t="s">
        <v>878</v>
      </c>
      <c r="N54" s="507" t="s">
        <v>19</v>
      </c>
      <c r="O54" s="507" t="s">
        <v>20</v>
      </c>
      <c r="P54" s="507" t="s">
        <v>882</v>
      </c>
      <c r="Q54" s="213" t="s">
        <v>818</v>
      </c>
      <c r="R54" s="213" t="s">
        <v>120</v>
      </c>
      <c r="S54" s="391"/>
      <c r="T54" s="391"/>
      <c r="U54" s="391"/>
      <c r="V54" s="391"/>
      <c r="X54" s="110" t="s">
        <v>878</v>
      </c>
      <c r="Y54" s="507" t="s">
        <v>19</v>
      </c>
      <c r="Z54" s="507" t="s">
        <v>20</v>
      </c>
      <c r="AA54" s="507" t="s">
        <v>882</v>
      </c>
      <c r="AB54" s="213" t="s">
        <v>818</v>
      </c>
      <c r="AC54" s="213" t="s">
        <v>120</v>
      </c>
      <c r="AD54" s="391"/>
      <c r="AE54" s="391"/>
      <c r="AF54" s="391"/>
      <c r="AG54" s="391"/>
    </row>
    <row r="55" spans="1:34" x14ac:dyDescent="0.25">
      <c r="A55" s="1269">
        <v>55</v>
      </c>
      <c r="B55" s="1894"/>
      <c r="C55" s="1895"/>
      <c r="D55" s="1903"/>
      <c r="E55" s="1904"/>
      <c r="F55" s="27">
        <f>G55</f>
        <v>0</v>
      </c>
      <c r="G55" s="27">
        <f>D55*E55</f>
        <v>0</v>
      </c>
      <c r="M55" s="1894"/>
      <c r="N55" s="1895"/>
      <c r="O55" s="1903"/>
      <c r="P55" s="1904"/>
      <c r="Q55" s="27">
        <f>R55</f>
        <v>0</v>
      </c>
      <c r="R55" s="27">
        <f>O55*P55</f>
        <v>0</v>
      </c>
      <c r="S55" s="391"/>
      <c r="T55" s="391"/>
      <c r="U55" s="391"/>
      <c r="V55" s="391"/>
      <c r="X55" s="578"/>
      <c r="Y55" s="579"/>
      <c r="Z55" s="125"/>
      <c r="AA55" s="126"/>
      <c r="AB55" s="27">
        <f>AC55</f>
        <v>0</v>
      </c>
      <c r="AC55" s="27">
        <f>Z55*AA55</f>
        <v>0</v>
      </c>
      <c r="AD55" s="391"/>
      <c r="AE55" s="391"/>
      <c r="AF55" s="391"/>
      <c r="AG55" s="391"/>
    </row>
    <row r="56" spans="1:34" x14ac:dyDescent="0.25">
      <c r="A56" s="1269">
        <v>56</v>
      </c>
      <c r="B56" s="1894"/>
      <c r="C56" s="1895"/>
      <c r="D56" s="1903"/>
      <c r="E56" s="1904"/>
      <c r="F56" s="27">
        <f t="shared" ref="F56:F63" si="9">G56</f>
        <v>0</v>
      </c>
      <c r="G56" s="27">
        <f t="shared" ref="G56:G63" si="10">D56*E56</f>
        <v>0</v>
      </c>
      <c r="M56" s="1894"/>
      <c r="N56" s="1895"/>
      <c r="O56" s="1903"/>
      <c r="P56" s="1904"/>
      <c r="Q56" s="27">
        <f t="shared" ref="Q56:Q63" si="11">R56</f>
        <v>0</v>
      </c>
      <c r="R56" s="27">
        <f t="shared" ref="R56:R63" si="12">O56*P56</f>
        <v>0</v>
      </c>
      <c r="S56" s="391"/>
      <c r="T56" s="391"/>
      <c r="U56" s="391"/>
      <c r="V56" s="391"/>
      <c r="X56" s="578"/>
      <c r="Y56" s="579"/>
      <c r="Z56" s="125"/>
      <c r="AA56" s="126"/>
      <c r="AB56" s="27">
        <f t="shared" ref="AB56:AB63" si="13">AC56</f>
        <v>0</v>
      </c>
      <c r="AC56" s="27">
        <f t="shared" ref="AC56:AC63" si="14">Z56*AA56</f>
        <v>0</v>
      </c>
      <c r="AD56" s="391"/>
      <c r="AE56" s="391"/>
      <c r="AF56" s="391"/>
      <c r="AG56" s="391"/>
    </row>
    <row r="57" spans="1:34" x14ac:dyDescent="0.25">
      <c r="A57" s="1269">
        <v>57</v>
      </c>
      <c r="B57" s="1894"/>
      <c r="C57" s="1895"/>
      <c r="D57" s="1903"/>
      <c r="E57" s="1904"/>
      <c r="F57" s="27">
        <f t="shared" si="9"/>
        <v>0</v>
      </c>
      <c r="G57" s="27">
        <f t="shared" si="10"/>
        <v>0</v>
      </c>
      <c r="M57" s="1894"/>
      <c r="N57" s="1895"/>
      <c r="O57" s="1903"/>
      <c r="P57" s="1904"/>
      <c r="Q57" s="27">
        <f t="shared" si="11"/>
        <v>0</v>
      </c>
      <c r="R57" s="27">
        <f t="shared" si="12"/>
        <v>0</v>
      </c>
      <c r="S57" s="391"/>
      <c r="T57" s="391"/>
      <c r="U57" s="391"/>
      <c r="V57" s="391"/>
      <c r="X57" s="578"/>
      <c r="Y57" s="579"/>
      <c r="Z57" s="125"/>
      <c r="AA57" s="126"/>
      <c r="AB57" s="27">
        <f t="shared" si="13"/>
        <v>0</v>
      </c>
      <c r="AC57" s="27">
        <f t="shared" si="14"/>
        <v>0</v>
      </c>
      <c r="AD57" s="391"/>
      <c r="AE57" s="391"/>
      <c r="AF57" s="391"/>
      <c r="AG57" s="391"/>
    </row>
    <row r="58" spans="1:34" x14ac:dyDescent="0.25">
      <c r="A58" s="1269">
        <v>58</v>
      </c>
      <c r="B58" s="1905"/>
      <c r="C58" s="1906"/>
      <c r="D58" s="1903"/>
      <c r="E58" s="1904"/>
      <c r="F58" s="27">
        <f t="shared" si="9"/>
        <v>0</v>
      </c>
      <c r="G58" s="27">
        <f t="shared" si="10"/>
        <v>0</v>
      </c>
      <c r="M58" s="1905"/>
      <c r="N58" s="1906"/>
      <c r="O58" s="1903"/>
      <c r="P58" s="1904"/>
      <c r="Q58" s="27">
        <f t="shared" si="11"/>
        <v>0</v>
      </c>
      <c r="R58" s="27">
        <f t="shared" si="12"/>
        <v>0</v>
      </c>
      <c r="S58" s="391"/>
      <c r="T58" s="391"/>
      <c r="U58" s="391"/>
      <c r="V58" s="391"/>
      <c r="X58" s="578"/>
      <c r="Y58" s="579"/>
      <c r="Z58" s="125"/>
      <c r="AA58" s="126"/>
      <c r="AB58" s="27">
        <f t="shared" si="13"/>
        <v>0</v>
      </c>
      <c r="AC58" s="27">
        <f t="shared" si="14"/>
        <v>0</v>
      </c>
      <c r="AD58" s="391"/>
      <c r="AE58" s="391"/>
      <c r="AF58" s="391"/>
      <c r="AG58" s="391"/>
    </row>
    <row r="59" spans="1:34" x14ac:dyDescent="0.25">
      <c r="A59" s="1269">
        <v>59</v>
      </c>
      <c r="B59" s="1905"/>
      <c r="C59" s="1906"/>
      <c r="D59" s="1903"/>
      <c r="E59" s="1904"/>
      <c r="F59" s="27">
        <f t="shared" si="9"/>
        <v>0</v>
      </c>
      <c r="G59" s="27">
        <f t="shared" si="10"/>
        <v>0</v>
      </c>
      <c r="M59" s="1905"/>
      <c r="N59" s="1906"/>
      <c r="O59" s="1903"/>
      <c r="P59" s="1904"/>
      <c r="Q59" s="27">
        <f t="shared" si="11"/>
        <v>0</v>
      </c>
      <c r="R59" s="27">
        <f t="shared" si="12"/>
        <v>0</v>
      </c>
      <c r="S59" s="391"/>
      <c r="T59" s="391"/>
      <c r="U59" s="391"/>
      <c r="V59" s="391"/>
      <c r="X59" s="578"/>
      <c r="Y59" s="579"/>
      <c r="Z59" s="125"/>
      <c r="AA59" s="126"/>
      <c r="AB59" s="27">
        <f t="shared" si="13"/>
        <v>0</v>
      </c>
      <c r="AC59" s="27">
        <f t="shared" si="14"/>
        <v>0</v>
      </c>
      <c r="AD59" s="391"/>
      <c r="AE59" s="391"/>
      <c r="AF59" s="391"/>
      <c r="AG59" s="391"/>
    </row>
    <row r="60" spans="1:34" x14ac:dyDescent="0.25">
      <c r="A60" s="1269">
        <v>60</v>
      </c>
      <c r="B60" s="1905"/>
      <c r="C60" s="1906"/>
      <c r="D60" s="1903"/>
      <c r="E60" s="1904"/>
      <c r="F60" s="27">
        <f t="shared" si="9"/>
        <v>0</v>
      </c>
      <c r="G60" s="27">
        <f t="shared" si="10"/>
        <v>0</v>
      </c>
      <c r="M60" s="1905"/>
      <c r="N60" s="1906"/>
      <c r="O60" s="1903"/>
      <c r="P60" s="1904"/>
      <c r="Q60" s="27">
        <f t="shared" si="11"/>
        <v>0</v>
      </c>
      <c r="R60" s="27">
        <f t="shared" si="12"/>
        <v>0</v>
      </c>
      <c r="S60" s="391"/>
      <c r="T60" s="391"/>
      <c r="U60" s="391"/>
      <c r="V60" s="391"/>
      <c r="X60" s="127"/>
      <c r="Y60" s="128"/>
      <c r="Z60" s="125"/>
      <c r="AA60" s="126"/>
      <c r="AB60" s="27">
        <f t="shared" si="13"/>
        <v>0</v>
      </c>
      <c r="AC60" s="27">
        <f t="shared" si="14"/>
        <v>0</v>
      </c>
      <c r="AD60" s="391"/>
      <c r="AE60" s="391"/>
      <c r="AF60" s="391"/>
      <c r="AG60" s="391"/>
    </row>
    <row r="61" spans="1:34" x14ac:dyDescent="0.25">
      <c r="A61" s="1269">
        <v>61</v>
      </c>
      <c r="B61" s="1905"/>
      <c r="C61" s="1906"/>
      <c r="D61" s="1903"/>
      <c r="E61" s="1904"/>
      <c r="F61" s="27">
        <f t="shared" si="9"/>
        <v>0</v>
      </c>
      <c r="G61" s="27">
        <f t="shared" si="10"/>
        <v>0</v>
      </c>
      <c r="M61" s="1905"/>
      <c r="N61" s="1906"/>
      <c r="O61" s="1903"/>
      <c r="P61" s="1904"/>
      <c r="Q61" s="27">
        <f t="shared" si="11"/>
        <v>0</v>
      </c>
      <c r="R61" s="27">
        <f t="shared" si="12"/>
        <v>0</v>
      </c>
      <c r="S61" s="391"/>
      <c r="T61" s="391"/>
      <c r="U61" s="391"/>
      <c r="V61" s="391"/>
      <c r="X61" s="127"/>
      <c r="Y61" s="128"/>
      <c r="Z61" s="125"/>
      <c r="AA61" s="126"/>
      <c r="AB61" s="27">
        <f t="shared" si="13"/>
        <v>0</v>
      </c>
      <c r="AC61" s="27">
        <f t="shared" si="14"/>
        <v>0</v>
      </c>
      <c r="AD61" s="391"/>
      <c r="AE61" s="391"/>
      <c r="AF61" s="391"/>
      <c r="AG61" s="391"/>
    </row>
    <row r="62" spans="1:34" x14ac:dyDescent="0.25">
      <c r="A62" s="1269">
        <v>62</v>
      </c>
      <c r="B62" s="1905"/>
      <c r="C62" s="1906"/>
      <c r="D62" s="1903"/>
      <c r="E62" s="1904"/>
      <c r="F62" s="27">
        <f t="shared" si="9"/>
        <v>0</v>
      </c>
      <c r="G62" s="27">
        <f t="shared" si="10"/>
        <v>0</v>
      </c>
      <c r="M62" s="1905"/>
      <c r="N62" s="1906"/>
      <c r="O62" s="1903"/>
      <c r="P62" s="1904"/>
      <c r="Q62" s="27">
        <f t="shared" si="11"/>
        <v>0</v>
      </c>
      <c r="R62" s="27">
        <f t="shared" si="12"/>
        <v>0</v>
      </c>
      <c r="S62" s="391"/>
      <c r="T62" s="391"/>
      <c r="U62" s="391"/>
      <c r="V62" s="391"/>
      <c r="X62" s="127"/>
      <c r="Y62" s="128"/>
      <c r="Z62" s="125"/>
      <c r="AA62" s="126"/>
      <c r="AB62" s="27">
        <f t="shared" si="13"/>
        <v>0</v>
      </c>
      <c r="AC62" s="27">
        <f t="shared" si="14"/>
        <v>0</v>
      </c>
      <c r="AD62" s="391"/>
      <c r="AE62" s="391"/>
      <c r="AF62" s="391"/>
      <c r="AG62" s="391"/>
    </row>
    <row r="63" spans="1:34" ht="15.75" thickBot="1" x14ac:dyDescent="0.3">
      <c r="A63" s="1269">
        <v>63</v>
      </c>
      <c r="B63" s="1905"/>
      <c r="C63" s="1906"/>
      <c r="D63" s="1903"/>
      <c r="E63" s="1904"/>
      <c r="F63" s="27">
        <f t="shared" si="9"/>
        <v>0</v>
      </c>
      <c r="G63" s="27">
        <f t="shared" si="10"/>
        <v>0</v>
      </c>
      <c r="M63" s="1905"/>
      <c r="N63" s="1906"/>
      <c r="O63" s="1903"/>
      <c r="P63" s="1904"/>
      <c r="Q63" s="27">
        <f t="shared" si="11"/>
        <v>0</v>
      </c>
      <c r="R63" s="27">
        <f t="shared" si="12"/>
        <v>0</v>
      </c>
      <c r="S63" s="391"/>
      <c r="T63" s="391"/>
      <c r="U63" s="391"/>
      <c r="V63" s="391"/>
      <c r="X63" s="127"/>
      <c r="Y63" s="128"/>
      <c r="Z63" s="125"/>
      <c r="AA63" s="126"/>
      <c r="AB63" s="27">
        <f t="shared" si="13"/>
        <v>0</v>
      </c>
      <c r="AC63" s="27">
        <f t="shared" si="14"/>
        <v>0</v>
      </c>
      <c r="AD63" s="391"/>
      <c r="AE63" s="391"/>
      <c r="AF63" s="391"/>
      <c r="AG63" s="391"/>
    </row>
    <row r="64" spans="1:34" ht="15.75" thickBot="1" x14ac:dyDescent="0.3">
      <c r="A64" s="1269">
        <v>64</v>
      </c>
      <c r="B64" s="1582" t="s">
        <v>487</v>
      </c>
      <c r="C64" s="1583"/>
      <c r="D64" s="1583"/>
      <c r="E64" s="1583"/>
      <c r="F64" s="80">
        <f>SUM(F55:F63)</f>
        <v>0</v>
      </c>
      <c r="G64" s="80">
        <f>SUM(G55:G63)</f>
        <v>0</v>
      </c>
      <c r="M64" s="1582" t="s">
        <v>487</v>
      </c>
      <c r="N64" s="1583"/>
      <c r="O64" s="1583"/>
      <c r="P64" s="1583"/>
      <c r="Q64" s="80">
        <f>SUM(Q55:Q63)</f>
        <v>0</v>
      </c>
      <c r="R64" s="80">
        <f>SUM(R55:R63)</f>
        <v>0</v>
      </c>
      <c r="S64" s="391"/>
      <c r="T64" s="391"/>
      <c r="U64" s="391"/>
      <c r="V64" s="391"/>
      <c r="X64" s="1582" t="s">
        <v>487</v>
      </c>
      <c r="Y64" s="1583"/>
      <c r="Z64" s="1583"/>
      <c r="AA64" s="1583"/>
      <c r="AB64" s="80">
        <f>SUM(AB55:AB63)</f>
        <v>0</v>
      </c>
      <c r="AC64" s="80">
        <f>SUM(AC55:AC63)</f>
        <v>0</v>
      </c>
      <c r="AD64" s="391"/>
      <c r="AE64" s="391"/>
      <c r="AF64" s="391"/>
      <c r="AG64" s="391"/>
    </row>
    <row r="65" spans="1:33" ht="79.900000000000006" customHeight="1" thickTop="1" x14ac:dyDescent="0.3">
      <c r="A65" s="1269">
        <v>65</v>
      </c>
      <c r="B65" s="320" t="s">
        <v>1152</v>
      </c>
      <c r="C65" s="309" t="s">
        <v>19</v>
      </c>
      <c r="D65" s="309" t="s">
        <v>20</v>
      </c>
      <c r="E65" s="309" t="s">
        <v>883</v>
      </c>
      <c r="F65" s="22" t="s">
        <v>884</v>
      </c>
      <c r="G65" s="22" t="s">
        <v>817</v>
      </c>
      <c r="M65" s="606" t="s">
        <v>1152</v>
      </c>
      <c r="N65" s="507" t="s">
        <v>19</v>
      </c>
      <c r="O65" s="507" t="s">
        <v>20</v>
      </c>
      <c r="P65" s="507" t="s">
        <v>883</v>
      </c>
      <c r="Q65" s="213" t="s">
        <v>884</v>
      </c>
      <c r="R65" s="213" t="s">
        <v>817</v>
      </c>
      <c r="S65" s="391"/>
      <c r="T65" s="391"/>
      <c r="U65" s="391"/>
      <c r="V65" s="391"/>
      <c r="X65" s="606" t="s">
        <v>1152</v>
      </c>
      <c r="Y65" s="507" t="s">
        <v>19</v>
      </c>
      <c r="Z65" s="507" t="s">
        <v>20</v>
      </c>
      <c r="AA65" s="507" t="s">
        <v>883</v>
      </c>
      <c r="AB65" s="213" t="s">
        <v>884</v>
      </c>
      <c r="AC65" s="213" t="s">
        <v>817</v>
      </c>
      <c r="AD65" s="391"/>
      <c r="AE65" s="391"/>
      <c r="AF65" s="391"/>
      <c r="AG65" s="391"/>
    </row>
    <row r="66" spans="1:33" x14ac:dyDescent="0.25">
      <c r="A66" s="1269">
        <v>66</v>
      </c>
      <c r="B66" s="1894"/>
      <c r="C66" s="1895"/>
      <c r="D66" s="1903"/>
      <c r="E66" s="1904"/>
      <c r="F66" s="27">
        <f>G66</f>
        <v>0</v>
      </c>
      <c r="G66" s="27">
        <f>D66*E66</f>
        <v>0</v>
      </c>
      <c r="M66" s="1894"/>
      <c r="N66" s="1895"/>
      <c r="O66" s="1903"/>
      <c r="P66" s="1904"/>
      <c r="Q66" s="27">
        <f>R66</f>
        <v>0</v>
      </c>
      <c r="R66" s="27">
        <f>O66*P66</f>
        <v>0</v>
      </c>
      <c r="S66" s="391"/>
      <c r="T66" s="391"/>
      <c r="U66" s="391"/>
      <c r="V66" s="391"/>
      <c r="X66" s="578"/>
      <c r="Y66" s="579"/>
      <c r="Z66" s="125"/>
      <c r="AA66" s="126"/>
      <c r="AB66" s="27">
        <f>AC66</f>
        <v>0</v>
      </c>
      <c r="AC66" s="27">
        <f>Z66*AA66</f>
        <v>0</v>
      </c>
      <c r="AD66" s="391"/>
      <c r="AE66" s="391"/>
      <c r="AF66" s="391"/>
      <c r="AG66" s="391"/>
    </row>
    <row r="67" spans="1:33" x14ac:dyDescent="0.25">
      <c r="A67" s="1269">
        <v>67</v>
      </c>
      <c r="B67" s="1894"/>
      <c r="C67" s="1895"/>
      <c r="D67" s="1903"/>
      <c r="E67" s="1904"/>
      <c r="F67" s="27">
        <f t="shared" ref="F67:F73" si="15">G67</f>
        <v>0</v>
      </c>
      <c r="G67" s="27">
        <f t="shared" ref="G67:G73" si="16">D67*E67</f>
        <v>0</v>
      </c>
      <c r="M67" s="1894"/>
      <c r="N67" s="1895"/>
      <c r="O67" s="1903"/>
      <c r="P67" s="1904"/>
      <c r="Q67" s="27">
        <f t="shared" ref="Q67:Q73" si="17">R67</f>
        <v>0</v>
      </c>
      <c r="R67" s="27">
        <f t="shared" ref="R67:R73" si="18">O67*P67</f>
        <v>0</v>
      </c>
      <c r="S67" s="391"/>
      <c r="T67" s="391"/>
      <c r="U67" s="391"/>
      <c r="V67" s="391"/>
      <c r="X67" s="127"/>
      <c r="Y67" s="128"/>
      <c r="Z67" s="125"/>
      <c r="AA67" s="126"/>
      <c r="AB67" s="27">
        <f t="shared" ref="AB67:AB73" si="19">AC67</f>
        <v>0</v>
      </c>
      <c r="AC67" s="27">
        <f t="shared" ref="AC67:AC73" si="20">Z67*AA67</f>
        <v>0</v>
      </c>
      <c r="AD67" s="391"/>
      <c r="AE67" s="391"/>
      <c r="AF67" s="391"/>
      <c r="AG67" s="391"/>
    </row>
    <row r="68" spans="1:33" x14ac:dyDescent="0.25">
      <c r="A68" s="1269">
        <v>68</v>
      </c>
      <c r="B68" s="1894"/>
      <c r="C68" s="1897"/>
      <c r="D68" s="1903"/>
      <c r="E68" s="1907"/>
      <c r="F68" s="27">
        <f t="shared" si="15"/>
        <v>0</v>
      </c>
      <c r="G68" s="27">
        <f t="shared" si="16"/>
        <v>0</v>
      </c>
      <c r="M68" s="1894"/>
      <c r="N68" s="1897"/>
      <c r="O68" s="1903"/>
      <c r="P68" s="1907"/>
      <c r="Q68" s="27">
        <f t="shared" si="17"/>
        <v>0</v>
      </c>
      <c r="R68" s="27">
        <f t="shared" si="18"/>
        <v>0</v>
      </c>
      <c r="S68" s="391"/>
      <c r="T68" s="391"/>
      <c r="U68" s="391"/>
      <c r="V68" s="391"/>
      <c r="X68" s="508"/>
      <c r="Y68" s="511"/>
      <c r="Z68" s="125"/>
      <c r="AA68" s="129"/>
      <c r="AB68" s="27">
        <f t="shared" si="19"/>
        <v>0</v>
      </c>
      <c r="AC68" s="27">
        <f t="shared" si="20"/>
        <v>0</v>
      </c>
      <c r="AD68" s="391"/>
      <c r="AE68" s="391"/>
      <c r="AF68" s="391"/>
      <c r="AG68" s="391"/>
    </row>
    <row r="69" spans="1:33" x14ac:dyDescent="0.25">
      <c r="A69" s="1269">
        <v>69</v>
      </c>
      <c r="B69" s="1894"/>
      <c r="C69" s="1897"/>
      <c r="D69" s="1903"/>
      <c r="E69" s="1907"/>
      <c r="F69" s="27">
        <f t="shared" si="15"/>
        <v>0</v>
      </c>
      <c r="G69" s="27">
        <f t="shared" si="16"/>
        <v>0</v>
      </c>
      <c r="M69" s="1894"/>
      <c r="N69" s="1897"/>
      <c r="O69" s="1903"/>
      <c r="P69" s="1907"/>
      <c r="Q69" s="27">
        <f t="shared" si="17"/>
        <v>0</v>
      </c>
      <c r="R69" s="27">
        <f t="shared" si="18"/>
        <v>0</v>
      </c>
      <c r="S69" s="391"/>
      <c r="T69" s="391"/>
      <c r="U69" s="391"/>
      <c r="V69" s="391"/>
      <c r="X69" s="508"/>
      <c r="Y69" s="511"/>
      <c r="Z69" s="125"/>
      <c r="AA69" s="129"/>
      <c r="AB69" s="27">
        <f t="shared" si="19"/>
        <v>0</v>
      </c>
      <c r="AC69" s="27">
        <f t="shared" si="20"/>
        <v>0</v>
      </c>
      <c r="AD69" s="391"/>
      <c r="AE69" s="391"/>
      <c r="AF69" s="391"/>
      <c r="AG69" s="391"/>
    </row>
    <row r="70" spans="1:33" x14ac:dyDescent="0.25">
      <c r="A70" s="1269">
        <v>70</v>
      </c>
      <c r="B70" s="1894"/>
      <c r="C70" s="1897"/>
      <c r="D70" s="1903"/>
      <c r="E70" s="1907"/>
      <c r="F70" s="27">
        <f t="shared" si="15"/>
        <v>0</v>
      </c>
      <c r="G70" s="27">
        <f t="shared" si="16"/>
        <v>0</v>
      </c>
      <c r="M70" s="1894"/>
      <c r="N70" s="1895"/>
      <c r="O70" s="1903"/>
      <c r="P70" s="1904"/>
      <c r="Q70" s="27">
        <f t="shared" si="17"/>
        <v>0</v>
      </c>
      <c r="R70" s="27">
        <f t="shared" si="18"/>
        <v>0</v>
      </c>
      <c r="S70" s="391"/>
      <c r="T70" s="391"/>
      <c r="U70" s="391"/>
      <c r="V70" s="391"/>
      <c r="X70" s="508"/>
      <c r="Y70" s="511"/>
      <c r="Z70" s="125"/>
      <c r="AA70" s="129"/>
      <c r="AB70" s="27">
        <f t="shared" si="19"/>
        <v>0</v>
      </c>
      <c r="AC70" s="27">
        <f t="shared" si="20"/>
        <v>0</v>
      </c>
      <c r="AD70" s="391"/>
      <c r="AE70" s="391"/>
      <c r="AF70" s="391"/>
      <c r="AG70" s="391"/>
    </row>
    <row r="71" spans="1:33" x14ac:dyDescent="0.25">
      <c r="A71" s="1269">
        <v>71</v>
      </c>
      <c r="B71" s="1894"/>
      <c r="C71" s="1897"/>
      <c r="D71" s="1903"/>
      <c r="E71" s="1907"/>
      <c r="F71" s="27">
        <f t="shared" si="15"/>
        <v>0</v>
      </c>
      <c r="G71" s="27">
        <f t="shared" si="16"/>
        <v>0</v>
      </c>
      <c r="M71" s="1894"/>
      <c r="N71" s="1897"/>
      <c r="O71" s="1903"/>
      <c r="P71" s="1907"/>
      <c r="Q71" s="27">
        <f t="shared" si="17"/>
        <v>0</v>
      </c>
      <c r="R71" s="27">
        <f t="shared" si="18"/>
        <v>0</v>
      </c>
      <c r="S71" s="391"/>
      <c r="T71" s="391"/>
      <c r="U71" s="391"/>
      <c r="V71" s="391"/>
      <c r="X71" s="508"/>
      <c r="Y71" s="511"/>
      <c r="Z71" s="125"/>
      <c r="AA71" s="129"/>
      <c r="AB71" s="27">
        <f t="shared" si="19"/>
        <v>0</v>
      </c>
      <c r="AC71" s="27">
        <f t="shared" si="20"/>
        <v>0</v>
      </c>
      <c r="AD71" s="391"/>
      <c r="AE71" s="391"/>
      <c r="AF71" s="391"/>
      <c r="AG71" s="391"/>
    </row>
    <row r="72" spans="1:33" x14ac:dyDescent="0.25">
      <c r="A72" s="1269">
        <v>72</v>
      </c>
      <c r="B72" s="1894"/>
      <c r="C72" s="1897"/>
      <c r="D72" s="1903"/>
      <c r="E72" s="1907"/>
      <c r="F72" s="27">
        <f t="shared" si="15"/>
        <v>0</v>
      </c>
      <c r="G72" s="27">
        <f t="shared" si="16"/>
        <v>0</v>
      </c>
      <c r="M72" s="1894"/>
      <c r="N72" s="1897"/>
      <c r="O72" s="1903"/>
      <c r="P72" s="1907"/>
      <c r="Q72" s="27">
        <f t="shared" si="17"/>
        <v>0</v>
      </c>
      <c r="R72" s="27">
        <f t="shared" si="18"/>
        <v>0</v>
      </c>
      <c r="S72" s="391"/>
      <c r="T72" s="391"/>
      <c r="U72" s="391"/>
      <c r="V72" s="391"/>
      <c r="X72" s="508"/>
      <c r="Y72" s="511"/>
      <c r="Z72" s="125"/>
      <c r="AA72" s="129"/>
      <c r="AB72" s="27">
        <f t="shared" si="19"/>
        <v>0</v>
      </c>
      <c r="AC72" s="27">
        <f t="shared" si="20"/>
        <v>0</v>
      </c>
      <c r="AD72" s="391"/>
      <c r="AE72" s="391"/>
      <c r="AF72" s="391"/>
      <c r="AG72" s="391"/>
    </row>
    <row r="73" spans="1:33" x14ac:dyDescent="0.25">
      <c r="A73" s="1269">
        <v>73</v>
      </c>
      <c r="B73" s="1894"/>
      <c r="C73" s="1897"/>
      <c r="D73" s="1903"/>
      <c r="E73" s="1907"/>
      <c r="F73" s="27">
        <f t="shared" si="15"/>
        <v>0</v>
      </c>
      <c r="G73" s="27">
        <f t="shared" si="16"/>
        <v>0</v>
      </c>
      <c r="M73" s="1894"/>
      <c r="N73" s="1897"/>
      <c r="O73" s="1903"/>
      <c r="P73" s="1907"/>
      <c r="Q73" s="27">
        <f t="shared" si="17"/>
        <v>0</v>
      </c>
      <c r="R73" s="27">
        <f t="shared" si="18"/>
        <v>0</v>
      </c>
      <c r="S73" s="391"/>
      <c r="T73" s="391"/>
      <c r="U73" s="391"/>
      <c r="V73" s="391"/>
      <c r="X73" s="508"/>
      <c r="Y73" s="511"/>
      <c r="Z73" s="125"/>
      <c r="AA73" s="129"/>
      <c r="AB73" s="27">
        <f t="shared" si="19"/>
        <v>0</v>
      </c>
      <c r="AC73" s="27">
        <f t="shared" si="20"/>
        <v>0</v>
      </c>
      <c r="AD73" s="391"/>
      <c r="AE73" s="391"/>
      <c r="AF73" s="391"/>
      <c r="AG73" s="391"/>
    </row>
    <row r="74" spans="1:33" x14ac:dyDescent="0.25">
      <c r="A74" s="1269">
        <v>74</v>
      </c>
      <c r="B74" s="1467" t="s">
        <v>487</v>
      </c>
      <c r="C74" s="1468"/>
      <c r="D74" s="1468"/>
      <c r="E74" s="1468"/>
      <c r="F74" s="81">
        <f>SUM(F66:F73)</f>
        <v>0</v>
      </c>
      <c r="G74" s="81">
        <f>SUM(G66:G73)</f>
        <v>0</v>
      </c>
      <c r="M74" s="1467" t="s">
        <v>487</v>
      </c>
      <c r="N74" s="1468"/>
      <c r="O74" s="1468"/>
      <c r="P74" s="1468"/>
      <c r="Q74" s="81">
        <f>SUM(Q66:Q73)</f>
        <v>0</v>
      </c>
      <c r="R74" s="81">
        <f>SUM(R66:R73)</f>
        <v>0</v>
      </c>
      <c r="S74" s="391"/>
      <c r="T74" s="391"/>
      <c r="U74" s="391"/>
      <c r="V74" s="391"/>
      <c r="X74" s="1467" t="s">
        <v>487</v>
      </c>
      <c r="Y74" s="1468"/>
      <c r="Z74" s="1468"/>
      <c r="AA74" s="1468"/>
      <c r="AB74" s="81">
        <f>SUM(AB66:AB73)</f>
        <v>0</v>
      </c>
      <c r="AC74" s="81">
        <f>SUM(AC66:AC73)</f>
        <v>0</v>
      </c>
      <c r="AD74" s="391"/>
      <c r="AE74" s="391"/>
      <c r="AF74" s="391"/>
      <c r="AG74" s="391"/>
    </row>
    <row r="75" spans="1:33" s="2" customFormat="1" ht="83.45" customHeight="1" x14ac:dyDescent="0.3">
      <c r="A75" s="1269">
        <v>75</v>
      </c>
      <c r="B75" s="550" t="s">
        <v>879</v>
      </c>
      <c r="C75" s="18" t="s">
        <v>19</v>
      </c>
      <c r="D75" s="18" t="s">
        <v>20</v>
      </c>
      <c r="E75" s="18" t="s">
        <v>815</v>
      </c>
      <c r="F75" s="34" t="s">
        <v>814</v>
      </c>
      <c r="G75" s="34" t="s">
        <v>120</v>
      </c>
      <c r="L75" s="44"/>
      <c r="M75" s="550" t="s">
        <v>879</v>
      </c>
      <c r="N75" s="18" t="s">
        <v>19</v>
      </c>
      <c r="O75" s="18" t="s">
        <v>20</v>
      </c>
      <c r="P75" s="18" t="s">
        <v>815</v>
      </c>
      <c r="Q75" s="607" t="s">
        <v>814</v>
      </c>
      <c r="R75" s="607" t="s">
        <v>120</v>
      </c>
      <c r="W75" s="44"/>
      <c r="X75" s="550" t="s">
        <v>879</v>
      </c>
      <c r="Y75" s="18" t="s">
        <v>19</v>
      </c>
      <c r="Z75" s="18" t="s">
        <v>20</v>
      </c>
      <c r="AA75" s="18" t="s">
        <v>815</v>
      </c>
      <c r="AB75" s="607" t="s">
        <v>814</v>
      </c>
      <c r="AC75" s="607" t="s">
        <v>120</v>
      </c>
    </row>
    <row r="76" spans="1:33" s="2" customFormat="1" x14ac:dyDescent="0.25">
      <c r="A76" s="1269">
        <v>76</v>
      </c>
      <c r="B76" s="1905"/>
      <c r="C76" s="1906"/>
      <c r="D76" s="1897"/>
      <c r="E76" s="1904"/>
      <c r="F76" s="27">
        <f>D76*E76</f>
        <v>0</v>
      </c>
      <c r="G76" s="27">
        <f>F76</f>
        <v>0</v>
      </c>
      <c r="L76" s="44"/>
      <c r="M76" s="1905"/>
      <c r="N76" s="1906"/>
      <c r="O76" s="1897"/>
      <c r="P76" s="1904"/>
      <c r="Q76" s="27">
        <f>O76*P76</f>
        <v>0</v>
      </c>
      <c r="R76" s="27">
        <f>Q76</f>
        <v>0</v>
      </c>
      <c r="W76" s="44"/>
      <c r="X76" s="127"/>
      <c r="Y76" s="128"/>
      <c r="Z76" s="511"/>
      <c r="AA76" s="126"/>
      <c r="AB76" s="27">
        <f>Z76*AA76</f>
        <v>0</v>
      </c>
      <c r="AC76" s="27">
        <f>AB76</f>
        <v>0</v>
      </c>
    </row>
    <row r="77" spans="1:33" s="2" customFormat="1" x14ac:dyDescent="0.25">
      <c r="A77" s="1269">
        <v>77</v>
      </c>
      <c r="B77" s="1905"/>
      <c r="C77" s="1906"/>
      <c r="D77" s="1895"/>
      <c r="E77" s="1895"/>
      <c r="F77" s="27">
        <f t="shared" ref="F77:F82" si="21">D77*E77</f>
        <v>0</v>
      </c>
      <c r="G77" s="27">
        <f t="shared" ref="G77:G82" si="22">F77</f>
        <v>0</v>
      </c>
      <c r="L77" s="44"/>
      <c r="M77" s="1905"/>
      <c r="N77" s="1906"/>
      <c r="O77" s="1895"/>
      <c r="P77" s="1895"/>
      <c r="Q77" s="27">
        <f t="shared" ref="Q77:Q78" si="23">O77*P77</f>
        <v>0</v>
      </c>
      <c r="R77" s="27">
        <f t="shared" ref="R77:R78" si="24">Q77</f>
        <v>0</v>
      </c>
      <c r="W77" s="44"/>
      <c r="X77" s="127"/>
      <c r="Y77" s="128"/>
      <c r="Z77" s="509"/>
      <c r="AA77" s="509"/>
      <c r="AB77" s="27">
        <f t="shared" ref="AB77:AB78" si="25">Z77*AA77</f>
        <v>0</v>
      </c>
      <c r="AC77" s="27">
        <f t="shared" ref="AC77:AC78" si="26">AB77</f>
        <v>0</v>
      </c>
    </row>
    <row r="78" spans="1:33" s="2" customFormat="1" x14ac:dyDescent="0.25">
      <c r="A78" s="1269">
        <v>78</v>
      </c>
      <c r="B78" s="1905"/>
      <c r="C78" s="1906"/>
      <c r="D78" s="1895"/>
      <c r="E78" s="1895"/>
      <c r="F78" s="27">
        <f t="shared" si="21"/>
        <v>0</v>
      </c>
      <c r="G78" s="27">
        <f t="shared" si="22"/>
        <v>0</v>
      </c>
      <c r="L78" s="44"/>
      <c r="M78" s="1905"/>
      <c r="N78" s="1906"/>
      <c r="O78" s="1895"/>
      <c r="P78" s="1895"/>
      <c r="Q78" s="27">
        <f t="shared" si="23"/>
        <v>0</v>
      </c>
      <c r="R78" s="27">
        <f t="shared" si="24"/>
        <v>0</v>
      </c>
      <c r="W78" s="44"/>
      <c r="X78" s="127"/>
      <c r="Y78" s="128"/>
      <c r="Z78" s="509"/>
      <c r="AA78" s="509"/>
      <c r="AB78" s="27">
        <f t="shared" si="25"/>
        <v>0</v>
      </c>
      <c r="AC78" s="27">
        <f t="shared" si="26"/>
        <v>0</v>
      </c>
    </row>
    <row r="79" spans="1:33" s="2" customFormat="1" x14ac:dyDescent="0.25">
      <c r="A79" s="1269">
        <v>79</v>
      </c>
      <c r="B79" s="1905"/>
      <c r="C79" s="1906"/>
      <c r="D79" s="1895"/>
      <c r="E79" s="1895"/>
      <c r="F79" s="27">
        <f t="shared" ref="F79" si="27">D79*E79</f>
        <v>0</v>
      </c>
      <c r="G79" s="27">
        <f t="shared" ref="G79" si="28">F79</f>
        <v>0</v>
      </c>
      <c r="L79" s="44"/>
      <c r="M79" s="1905"/>
      <c r="N79" s="1906"/>
      <c r="O79" s="1895"/>
      <c r="P79" s="1895"/>
      <c r="Q79" s="27">
        <f t="shared" ref="Q79" si="29">O79*P79</f>
        <v>0</v>
      </c>
      <c r="R79" s="27">
        <f t="shared" ref="R79" si="30">Q79</f>
        <v>0</v>
      </c>
      <c r="W79" s="44"/>
      <c r="X79" s="127"/>
      <c r="Y79" s="128"/>
      <c r="Z79" s="509"/>
      <c r="AA79" s="509"/>
      <c r="AB79" s="27">
        <f t="shared" ref="AB79" si="31">Z79*AA79</f>
        <v>0</v>
      </c>
      <c r="AC79" s="27">
        <f t="shared" ref="AC79" si="32">AB79</f>
        <v>0</v>
      </c>
    </row>
    <row r="80" spans="1:33" s="2" customFormat="1" x14ac:dyDescent="0.25">
      <c r="A80" s="1269">
        <v>80</v>
      </c>
      <c r="B80" s="1905"/>
      <c r="C80" s="1906"/>
      <c r="D80" s="1895"/>
      <c r="E80" s="1895"/>
      <c r="F80" s="27">
        <f t="shared" si="21"/>
        <v>0</v>
      </c>
      <c r="G80" s="27">
        <f t="shared" si="22"/>
        <v>0</v>
      </c>
      <c r="L80" s="44"/>
      <c r="M80" s="1905"/>
      <c r="N80" s="1906"/>
      <c r="O80" s="1895"/>
      <c r="P80" s="1895"/>
      <c r="Q80" s="27">
        <f t="shared" ref="Q80:Q82" si="33">O80*P80</f>
        <v>0</v>
      </c>
      <c r="R80" s="27">
        <f t="shared" ref="R80:R82" si="34">Q80</f>
        <v>0</v>
      </c>
      <c r="W80" s="44"/>
      <c r="X80" s="127"/>
      <c r="Y80" s="128"/>
      <c r="Z80" s="509"/>
      <c r="AA80" s="509"/>
      <c r="AB80" s="27">
        <f t="shared" ref="AB80:AB82" si="35">Z80*AA80</f>
        <v>0</v>
      </c>
      <c r="AC80" s="27">
        <f t="shared" ref="AC80:AC82" si="36">AB80</f>
        <v>0</v>
      </c>
    </row>
    <row r="81" spans="1:34" s="2" customFormat="1" x14ac:dyDescent="0.25">
      <c r="A81" s="1269">
        <v>81</v>
      </c>
      <c r="B81" s="1905"/>
      <c r="C81" s="1906"/>
      <c r="D81" s="1895"/>
      <c r="E81" s="1895"/>
      <c r="F81" s="27">
        <f t="shared" si="21"/>
        <v>0</v>
      </c>
      <c r="G81" s="27">
        <f t="shared" si="22"/>
        <v>0</v>
      </c>
      <c r="L81" s="44"/>
      <c r="M81" s="1905"/>
      <c r="N81" s="1906"/>
      <c r="O81" s="1895"/>
      <c r="P81" s="1895"/>
      <c r="Q81" s="27">
        <f t="shared" si="33"/>
        <v>0</v>
      </c>
      <c r="R81" s="27">
        <f t="shared" si="34"/>
        <v>0</v>
      </c>
      <c r="W81" s="44"/>
      <c r="X81" s="127"/>
      <c r="Y81" s="128"/>
      <c r="Z81" s="509"/>
      <c r="AA81" s="509"/>
      <c r="AB81" s="27">
        <f t="shared" si="35"/>
        <v>0</v>
      </c>
      <c r="AC81" s="27">
        <f t="shared" si="36"/>
        <v>0</v>
      </c>
    </row>
    <row r="82" spans="1:34" s="2" customFormat="1" x14ac:dyDescent="0.25">
      <c r="A82" s="1269">
        <v>82</v>
      </c>
      <c r="B82" s="1905"/>
      <c r="C82" s="1906"/>
      <c r="D82" s="1895"/>
      <c r="E82" s="1895"/>
      <c r="F82" s="27">
        <f t="shared" si="21"/>
        <v>0</v>
      </c>
      <c r="G82" s="27">
        <f t="shared" si="22"/>
        <v>0</v>
      </c>
      <c r="L82" s="44"/>
      <c r="M82" s="1905"/>
      <c r="N82" s="1906"/>
      <c r="O82" s="1895"/>
      <c r="P82" s="1895"/>
      <c r="Q82" s="27">
        <f t="shared" si="33"/>
        <v>0</v>
      </c>
      <c r="R82" s="27">
        <f t="shared" si="34"/>
        <v>0</v>
      </c>
      <c r="W82" s="44"/>
      <c r="X82" s="127"/>
      <c r="Y82" s="128"/>
      <c r="Z82" s="509"/>
      <c r="AA82" s="509"/>
      <c r="AB82" s="27">
        <f t="shared" si="35"/>
        <v>0</v>
      </c>
      <c r="AC82" s="27">
        <f t="shared" si="36"/>
        <v>0</v>
      </c>
    </row>
    <row r="83" spans="1:34" s="2" customFormat="1" x14ac:dyDescent="0.25">
      <c r="A83" s="1269">
        <v>83</v>
      </c>
      <c r="B83" s="1908"/>
      <c r="C83" s="1909"/>
      <c r="D83" s="1910"/>
      <c r="E83" s="1910"/>
      <c r="F83" s="27">
        <f t="shared" ref="F83" si="37">D83*E83</f>
        <v>0</v>
      </c>
      <c r="G83" s="27">
        <f t="shared" ref="G83" si="38">F83</f>
        <v>0</v>
      </c>
      <c r="L83" s="44"/>
      <c r="M83" s="1908"/>
      <c r="N83" s="1909"/>
      <c r="O83" s="1910"/>
      <c r="P83" s="1910"/>
      <c r="Q83" s="27">
        <f t="shared" ref="Q83" si="39">O83*P83</f>
        <v>0</v>
      </c>
      <c r="R83" s="27">
        <f t="shared" ref="R83" si="40">Q83</f>
        <v>0</v>
      </c>
      <c r="W83" s="44"/>
      <c r="X83" s="551"/>
      <c r="Y83" s="552"/>
      <c r="Z83" s="553"/>
      <c r="AA83" s="553"/>
      <c r="AB83" s="27">
        <f t="shared" ref="AB83" si="41">Z83*AA83</f>
        <v>0</v>
      </c>
      <c r="AC83" s="27">
        <f t="shared" ref="AC83" si="42">AB83</f>
        <v>0</v>
      </c>
    </row>
    <row r="84" spans="1:34" s="2" customFormat="1" ht="15.75" thickBot="1" x14ac:dyDescent="0.3">
      <c r="A84" s="1269">
        <v>84</v>
      </c>
      <c r="B84" s="1467" t="s">
        <v>487</v>
      </c>
      <c r="C84" s="1468"/>
      <c r="D84" s="1468"/>
      <c r="E84" s="1468"/>
      <c r="F84" s="81">
        <f>SUM(F76:F83)</f>
        <v>0</v>
      </c>
      <c r="G84" s="81">
        <f>SUM(G76:G83)</f>
        <v>0</v>
      </c>
      <c r="L84" s="44"/>
      <c r="M84" s="1467" t="s">
        <v>487</v>
      </c>
      <c r="N84" s="1468"/>
      <c r="O84" s="1468"/>
      <c r="P84" s="1468"/>
      <c r="Q84" s="81">
        <f>SUM(Q76:Q83)</f>
        <v>0</v>
      </c>
      <c r="R84" s="81">
        <f>SUM(R76:R83)</f>
        <v>0</v>
      </c>
      <c r="W84" s="44"/>
      <c r="X84" s="1467" t="s">
        <v>487</v>
      </c>
      <c r="Y84" s="1468"/>
      <c r="Z84" s="1468"/>
      <c r="AA84" s="1468"/>
      <c r="AB84" s="81">
        <f>SUM(AB76:AB83)</f>
        <v>0</v>
      </c>
      <c r="AC84" s="81">
        <f>SUM(AC76:AC83)</f>
        <v>0</v>
      </c>
    </row>
    <row r="85" spans="1:34" s="2" customFormat="1" x14ac:dyDescent="0.25">
      <c r="A85" s="1269">
        <v>85</v>
      </c>
      <c r="B85" s="1469" t="s">
        <v>1052</v>
      </c>
      <c r="C85" s="1470"/>
      <c r="D85" s="1470"/>
      <c r="E85" s="1470"/>
      <c r="F85" s="1237">
        <f>F64+F74+F84</f>
        <v>0</v>
      </c>
      <c r="G85" s="1237">
        <f>G64+G74+G84</f>
        <v>0</v>
      </c>
      <c r="L85" s="44"/>
      <c r="M85" s="1469" t="s">
        <v>1052</v>
      </c>
      <c r="N85" s="1470"/>
      <c r="O85" s="1470"/>
      <c r="P85" s="1470"/>
      <c r="Q85" s="1237">
        <f>Q64+Q74+Q84</f>
        <v>0</v>
      </c>
      <c r="R85" s="1237">
        <f>R64+R74+R84</f>
        <v>0</v>
      </c>
      <c r="W85" s="44"/>
      <c r="X85" s="1469" t="s">
        <v>1052</v>
      </c>
      <c r="Y85" s="1470"/>
      <c r="Z85" s="1470"/>
      <c r="AA85" s="1470"/>
      <c r="AB85" s="595">
        <f>AB64+AB74+AB84</f>
        <v>0</v>
      </c>
      <c r="AC85" s="595">
        <f>AC64+AC74+AC84</f>
        <v>0</v>
      </c>
    </row>
    <row r="86" spans="1:34" s="139" customFormat="1" ht="142.5" customHeight="1" x14ac:dyDescent="0.25">
      <c r="A86" s="1269">
        <v>86</v>
      </c>
      <c r="B86" s="1471" t="s">
        <v>989</v>
      </c>
      <c r="C86" s="1472"/>
      <c r="D86" s="1472"/>
      <c r="E86" s="1472"/>
      <c r="F86" s="1472"/>
      <c r="G86" s="1472"/>
      <c r="H86" s="1472"/>
      <c r="I86" s="1472"/>
      <c r="J86" s="1473"/>
      <c r="L86" s="44"/>
      <c r="M86" s="1471" t="s">
        <v>989</v>
      </c>
      <c r="N86" s="1472"/>
      <c r="O86" s="1472"/>
      <c r="P86" s="1472"/>
      <c r="Q86" s="1472"/>
      <c r="R86" s="1472"/>
      <c r="S86" s="1472"/>
      <c r="T86" s="1472"/>
      <c r="U86" s="1473"/>
      <c r="V86" s="391"/>
      <c r="W86" s="44"/>
      <c r="X86" s="1471" t="s">
        <v>989</v>
      </c>
      <c r="Y86" s="1472"/>
      <c r="Z86" s="1472"/>
      <c r="AA86" s="1472"/>
      <c r="AB86" s="1472"/>
      <c r="AC86" s="1472"/>
      <c r="AD86" s="1472"/>
      <c r="AE86" s="1472"/>
      <c r="AF86" s="1473"/>
      <c r="AG86" s="391"/>
      <c r="AH86" s="44"/>
    </row>
    <row r="87" spans="1:34" s="139" customFormat="1" x14ac:dyDescent="0.25">
      <c r="A87" s="1269">
        <v>87</v>
      </c>
      <c r="B87" s="32"/>
      <c r="C87" s="32"/>
      <c r="D87" s="32"/>
      <c r="E87" s="32"/>
      <c r="F87" s="79"/>
      <c r="L87" s="44"/>
      <c r="M87" s="32"/>
      <c r="N87" s="32"/>
      <c r="O87" s="32"/>
      <c r="P87" s="32"/>
      <c r="Q87" s="79"/>
      <c r="R87" s="391"/>
      <c r="S87" s="391"/>
      <c r="T87" s="391"/>
      <c r="U87" s="391"/>
      <c r="V87" s="391"/>
      <c r="W87" s="44"/>
      <c r="X87" s="32"/>
      <c r="Y87" s="32"/>
      <c r="Z87" s="32"/>
      <c r="AA87" s="32"/>
      <c r="AB87" s="79"/>
      <c r="AC87" s="391"/>
      <c r="AD87" s="391"/>
      <c r="AE87" s="391"/>
      <c r="AF87" s="391"/>
      <c r="AG87" s="391"/>
      <c r="AH87" s="44"/>
    </row>
    <row r="88" spans="1:34" x14ac:dyDescent="0.25">
      <c r="A88" s="1269">
        <v>88</v>
      </c>
      <c r="B88" s="32"/>
      <c r="C88" s="32"/>
      <c r="D88" s="32"/>
      <c r="E88" s="32"/>
      <c r="F88" s="33"/>
      <c r="M88" s="32"/>
      <c r="N88" s="32"/>
      <c r="O88" s="32"/>
      <c r="P88" s="32"/>
      <c r="Q88" s="33"/>
      <c r="R88" s="391"/>
      <c r="S88" s="391"/>
      <c r="T88" s="391"/>
      <c r="U88" s="391"/>
      <c r="V88" s="391"/>
      <c r="X88" s="32"/>
      <c r="Y88" s="32"/>
      <c r="Z88" s="32"/>
      <c r="AA88" s="32"/>
      <c r="AB88" s="33"/>
      <c r="AC88" s="391"/>
      <c r="AD88" s="391"/>
      <c r="AE88" s="391"/>
      <c r="AF88" s="391"/>
      <c r="AG88" s="391"/>
    </row>
    <row r="89" spans="1:34" ht="101.45" customHeight="1" thickBot="1" x14ac:dyDescent="0.3">
      <c r="A89" s="1269">
        <v>89</v>
      </c>
      <c r="B89" s="1569" t="s">
        <v>1153</v>
      </c>
      <c r="C89" s="1570"/>
      <c r="D89" s="1570"/>
      <c r="E89" s="1570"/>
      <c r="F89" s="1570"/>
      <c r="G89" s="1570"/>
      <c r="H89" s="109"/>
      <c r="I89" s="82"/>
      <c r="M89" s="1569" t="s">
        <v>1153</v>
      </c>
      <c r="N89" s="1570"/>
      <c r="O89" s="1570"/>
      <c r="P89" s="1570"/>
      <c r="Q89" s="1570"/>
      <c r="R89" s="1570"/>
      <c r="S89" s="109"/>
      <c r="T89" s="82"/>
      <c r="U89" s="391"/>
      <c r="V89" s="391"/>
      <c r="X89" s="1569" t="s">
        <v>1153</v>
      </c>
      <c r="Y89" s="1570"/>
      <c r="Z89" s="1570"/>
      <c r="AA89" s="1570"/>
      <c r="AB89" s="1570"/>
      <c r="AC89" s="1570"/>
      <c r="AD89" s="109"/>
      <c r="AE89" s="82"/>
      <c r="AF89" s="391"/>
      <c r="AG89" s="391"/>
    </row>
    <row r="90" spans="1:34" s="78" customFormat="1" ht="54.95" customHeight="1" thickTop="1" x14ac:dyDescent="0.3">
      <c r="A90" s="1269">
        <v>90</v>
      </c>
      <c r="B90" s="582" t="s">
        <v>880</v>
      </c>
      <c r="C90" s="29" t="s">
        <v>19</v>
      </c>
      <c r="D90" s="29" t="s">
        <v>20</v>
      </c>
      <c r="E90" s="29" t="s">
        <v>816</v>
      </c>
      <c r="F90" s="31" t="s">
        <v>118</v>
      </c>
      <c r="G90" s="31" t="s">
        <v>119</v>
      </c>
      <c r="K90" s="108"/>
      <c r="L90" s="44"/>
      <c r="M90" s="606" t="s">
        <v>880</v>
      </c>
      <c r="N90" s="29" t="s">
        <v>19</v>
      </c>
      <c r="O90" s="29" t="s">
        <v>20</v>
      </c>
      <c r="P90" s="29" t="s">
        <v>816</v>
      </c>
      <c r="Q90" s="31" t="s">
        <v>118</v>
      </c>
      <c r="R90" s="31" t="s">
        <v>119</v>
      </c>
      <c r="S90" s="391"/>
      <c r="T90" s="391"/>
      <c r="U90" s="391"/>
      <c r="V90" s="391"/>
      <c r="W90" s="44"/>
      <c r="X90" s="606" t="s">
        <v>880</v>
      </c>
      <c r="Y90" s="29" t="s">
        <v>19</v>
      </c>
      <c r="Z90" s="29" t="s">
        <v>20</v>
      </c>
      <c r="AA90" s="29" t="s">
        <v>816</v>
      </c>
      <c r="AB90" s="31" t="s">
        <v>118</v>
      </c>
      <c r="AC90" s="31" t="s">
        <v>119</v>
      </c>
      <c r="AD90" s="391"/>
      <c r="AE90" s="391"/>
      <c r="AF90" s="391"/>
      <c r="AG90" s="391"/>
      <c r="AH90" s="44"/>
    </row>
    <row r="91" spans="1:34" s="78" customFormat="1" x14ac:dyDescent="0.25">
      <c r="A91" s="1269">
        <v>91</v>
      </c>
      <c r="B91" s="1894"/>
      <c r="C91" s="1895"/>
      <c r="D91" s="1903"/>
      <c r="E91" s="1911"/>
      <c r="F91" s="27">
        <f>D91*E91</f>
        <v>0</v>
      </c>
      <c r="G91" s="27">
        <f>F91</f>
        <v>0</v>
      </c>
      <c r="K91" s="108"/>
      <c r="L91" s="44"/>
      <c r="M91" s="1894"/>
      <c r="N91" s="1895"/>
      <c r="O91" s="1903"/>
      <c r="P91" s="1911"/>
      <c r="Q91" s="27">
        <f>O91*P91</f>
        <v>0</v>
      </c>
      <c r="R91" s="27">
        <f>Q91</f>
        <v>0</v>
      </c>
      <c r="S91" s="391"/>
      <c r="T91" s="391"/>
      <c r="U91" s="391"/>
      <c r="V91" s="391"/>
      <c r="W91" s="44"/>
      <c r="X91" s="127"/>
      <c r="Y91" s="128"/>
      <c r="Z91" s="125"/>
      <c r="AA91" s="472"/>
      <c r="AB91" s="27">
        <f>Z91*AA91</f>
        <v>0</v>
      </c>
      <c r="AC91" s="27">
        <f>AB91</f>
        <v>0</v>
      </c>
      <c r="AD91" s="391"/>
      <c r="AE91" s="391"/>
      <c r="AF91" s="391"/>
      <c r="AG91" s="391"/>
      <c r="AH91" s="44"/>
    </row>
    <row r="92" spans="1:34" s="78" customFormat="1" x14ac:dyDescent="0.25">
      <c r="A92" s="1269">
        <v>92</v>
      </c>
      <c r="B92" s="1894"/>
      <c r="C92" s="1895"/>
      <c r="D92" s="1903"/>
      <c r="E92" s="1911"/>
      <c r="F92" s="27">
        <f t="shared" ref="F92:F97" si="43">D92*E92</f>
        <v>0</v>
      </c>
      <c r="G92" s="27">
        <f t="shared" ref="G92:G97" si="44">F92</f>
        <v>0</v>
      </c>
      <c r="K92" s="108"/>
      <c r="L92" s="44"/>
      <c r="M92" s="1894"/>
      <c r="N92" s="1895"/>
      <c r="O92" s="1903"/>
      <c r="P92" s="1911"/>
      <c r="Q92" s="27">
        <f t="shared" ref="Q92:Q97" si="45">O92*P92</f>
        <v>0</v>
      </c>
      <c r="R92" s="27">
        <f t="shared" ref="R92:R97" si="46">Q92</f>
        <v>0</v>
      </c>
      <c r="S92" s="391"/>
      <c r="T92" s="391"/>
      <c r="U92" s="391"/>
      <c r="V92" s="391"/>
      <c r="W92" s="44"/>
      <c r="X92" s="127"/>
      <c r="Y92" s="128"/>
      <c r="Z92" s="125"/>
      <c r="AA92" s="472"/>
      <c r="AB92" s="27">
        <f t="shared" ref="AB92:AB97" si="47">Z92*AA92</f>
        <v>0</v>
      </c>
      <c r="AC92" s="27">
        <f t="shared" ref="AC92:AC97" si="48">AB92</f>
        <v>0</v>
      </c>
      <c r="AD92" s="391"/>
      <c r="AE92" s="391"/>
      <c r="AF92" s="391"/>
      <c r="AG92" s="391"/>
      <c r="AH92" s="44"/>
    </row>
    <row r="93" spans="1:34" s="78" customFormat="1" x14ac:dyDescent="0.25">
      <c r="A93" s="1269">
        <v>93</v>
      </c>
      <c r="B93" s="1894"/>
      <c r="C93" s="1895"/>
      <c r="D93" s="1903"/>
      <c r="E93" s="1911"/>
      <c r="F93" s="27">
        <f t="shared" si="43"/>
        <v>0</v>
      </c>
      <c r="G93" s="27">
        <f t="shared" si="44"/>
        <v>0</v>
      </c>
      <c r="K93" s="108"/>
      <c r="L93" s="44"/>
      <c r="M93" s="1894"/>
      <c r="N93" s="1895"/>
      <c r="O93" s="1903"/>
      <c r="P93" s="1912"/>
      <c r="Q93" s="27">
        <f t="shared" si="45"/>
        <v>0</v>
      </c>
      <c r="R93" s="27">
        <f t="shared" si="46"/>
        <v>0</v>
      </c>
      <c r="S93" s="391"/>
      <c r="T93" s="391"/>
      <c r="U93" s="391"/>
      <c r="V93" s="391"/>
      <c r="W93" s="44"/>
      <c r="X93" s="127"/>
      <c r="Y93" s="128"/>
      <c r="Z93" s="125"/>
      <c r="AA93" s="472"/>
      <c r="AB93" s="27">
        <f t="shared" si="47"/>
        <v>0</v>
      </c>
      <c r="AC93" s="27">
        <f t="shared" si="48"/>
        <v>0</v>
      </c>
      <c r="AD93" s="391"/>
      <c r="AE93" s="391"/>
      <c r="AF93" s="391"/>
      <c r="AG93" s="391"/>
      <c r="AH93" s="44"/>
    </row>
    <row r="94" spans="1:34" s="78" customFormat="1" x14ac:dyDescent="0.25">
      <c r="A94" s="1269">
        <v>94</v>
      </c>
      <c r="B94" s="1894"/>
      <c r="C94" s="1895"/>
      <c r="D94" s="1903"/>
      <c r="E94" s="1912"/>
      <c r="F94" s="27">
        <f t="shared" si="43"/>
        <v>0</v>
      </c>
      <c r="G94" s="27">
        <f t="shared" si="44"/>
        <v>0</v>
      </c>
      <c r="K94" s="108"/>
      <c r="L94" s="44"/>
      <c r="M94" s="1894"/>
      <c r="N94" s="1895"/>
      <c r="O94" s="1903"/>
      <c r="P94" s="1912"/>
      <c r="Q94" s="27">
        <f t="shared" si="45"/>
        <v>0</v>
      </c>
      <c r="R94" s="27">
        <f t="shared" si="46"/>
        <v>0</v>
      </c>
      <c r="S94" s="391"/>
      <c r="T94" s="391"/>
      <c r="U94" s="391"/>
      <c r="V94" s="391"/>
      <c r="W94" s="44"/>
      <c r="X94" s="127"/>
      <c r="Y94" s="128"/>
      <c r="Z94" s="125"/>
      <c r="AA94" s="473"/>
      <c r="AB94" s="27">
        <f t="shared" si="47"/>
        <v>0</v>
      </c>
      <c r="AC94" s="27">
        <f t="shared" si="48"/>
        <v>0</v>
      </c>
      <c r="AD94" s="391"/>
      <c r="AE94" s="391"/>
      <c r="AF94" s="391"/>
      <c r="AG94" s="391"/>
      <c r="AH94" s="44"/>
    </row>
    <row r="95" spans="1:34" s="78" customFormat="1" x14ac:dyDescent="0.25">
      <c r="A95" s="1269">
        <v>95</v>
      </c>
      <c r="B95" s="1894"/>
      <c r="C95" s="1895"/>
      <c r="D95" s="1903"/>
      <c r="E95" s="1912"/>
      <c r="F95" s="27">
        <f t="shared" si="43"/>
        <v>0</v>
      </c>
      <c r="G95" s="27">
        <f t="shared" si="44"/>
        <v>0</v>
      </c>
      <c r="K95" s="108"/>
      <c r="L95" s="44"/>
      <c r="M95" s="1894"/>
      <c r="N95" s="1895"/>
      <c r="O95" s="1903"/>
      <c r="P95" s="1912"/>
      <c r="Q95" s="27">
        <f t="shared" si="45"/>
        <v>0</v>
      </c>
      <c r="R95" s="27">
        <f t="shared" si="46"/>
        <v>0</v>
      </c>
      <c r="S95" s="391"/>
      <c r="T95" s="391"/>
      <c r="U95" s="391"/>
      <c r="V95" s="391"/>
      <c r="W95" s="44"/>
      <c r="X95" s="127"/>
      <c r="Y95" s="128"/>
      <c r="Z95" s="125"/>
      <c r="AA95" s="473"/>
      <c r="AB95" s="27">
        <f t="shared" si="47"/>
        <v>0</v>
      </c>
      <c r="AC95" s="27">
        <f t="shared" si="48"/>
        <v>0</v>
      </c>
      <c r="AD95" s="391"/>
      <c r="AE95" s="391"/>
      <c r="AF95" s="391"/>
      <c r="AG95" s="391"/>
      <c r="AH95" s="44"/>
    </row>
    <row r="96" spans="1:34" s="78" customFormat="1" x14ac:dyDescent="0.25">
      <c r="A96" s="1269">
        <v>96</v>
      </c>
      <c r="B96" s="1894"/>
      <c r="C96" s="1895"/>
      <c r="D96" s="1903"/>
      <c r="E96" s="1912"/>
      <c r="F96" s="27">
        <f t="shared" si="43"/>
        <v>0</v>
      </c>
      <c r="G96" s="27">
        <f t="shared" si="44"/>
        <v>0</v>
      </c>
      <c r="K96" s="108"/>
      <c r="L96" s="44"/>
      <c r="M96" s="1894"/>
      <c r="N96" s="1895"/>
      <c r="O96" s="1903"/>
      <c r="P96" s="1912"/>
      <c r="Q96" s="27">
        <f t="shared" si="45"/>
        <v>0</v>
      </c>
      <c r="R96" s="27">
        <f t="shared" si="46"/>
        <v>0</v>
      </c>
      <c r="S96" s="391"/>
      <c r="T96" s="391"/>
      <c r="U96" s="391"/>
      <c r="V96" s="391"/>
      <c r="W96" s="44"/>
      <c r="X96" s="127"/>
      <c r="Y96" s="128"/>
      <c r="Z96" s="125"/>
      <c r="AA96" s="473"/>
      <c r="AB96" s="27">
        <f t="shared" si="47"/>
        <v>0</v>
      </c>
      <c r="AC96" s="27">
        <f t="shared" si="48"/>
        <v>0</v>
      </c>
      <c r="AD96" s="391"/>
      <c r="AE96" s="391"/>
      <c r="AF96" s="391"/>
      <c r="AG96" s="391"/>
      <c r="AH96" s="44"/>
    </row>
    <row r="97" spans="1:34" s="78" customFormat="1" x14ac:dyDescent="0.25">
      <c r="A97" s="1269">
        <v>97</v>
      </c>
      <c r="B97" s="1905"/>
      <c r="C97" s="1906"/>
      <c r="D97" s="1903"/>
      <c r="E97" s="1912"/>
      <c r="F97" s="27">
        <f t="shared" si="43"/>
        <v>0</v>
      </c>
      <c r="G97" s="27">
        <f t="shared" si="44"/>
        <v>0</v>
      </c>
      <c r="K97" s="108"/>
      <c r="L97" s="44"/>
      <c r="M97" s="1905"/>
      <c r="N97" s="1906"/>
      <c r="O97" s="1903"/>
      <c r="P97" s="1912"/>
      <c r="Q97" s="27">
        <f t="shared" si="45"/>
        <v>0</v>
      </c>
      <c r="R97" s="27">
        <f t="shared" si="46"/>
        <v>0</v>
      </c>
      <c r="S97" s="391"/>
      <c r="T97" s="391"/>
      <c r="U97" s="391"/>
      <c r="V97" s="391"/>
      <c r="W97" s="44"/>
      <c r="X97" s="127"/>
      <c r="Y97" s="128"/>
      <c r="Z97" s="125"/>
      <c r="AA97" s="473"/>
      <c r="AB97" s="27">
        <f t="shared" si="47"/>
        <v>0</v>
      </c>
      <c r="AC97" s="27">
        <f t="shared" si="48"/>
        <v>0</v>
      </c>
      <c r="AD97" s="391"/>
      <c r="AE97" s="391"/>
      <c r="AF97" s="391"/>
      <c r="AG97" s="391"/>
      <c r="AH97" s="44"/>
    </row>
    <row r="98" spans="1:34" s="78" customFormat="1" ht="15.75" thickBot="1" x14ac:dyDescent="0.3">
      <c r="A98" s="1269">
        <v>98</v>
      </c>
      <c r="B98" s="1474" t="s">
        <v>819</v>
      </c>
      <c r="C98" s="1475"/>
      <c r="D98" s="1475"/>
      <c r="E98" s="1475"/>
      <c r="F98" s="554">
        <f>SUM(F91:F97)</f>
        <v>0</v>
      </c>
      <c r="G98" s="554">
        <f>SUM(G91:G97)</f>
        <v>0</v>
      </c>
      <c r="K98" s="108"/>
      <c r="L98" s="44"/>
      <c r="M98" s="1474" t="s">
        <v>819</v>
      </c>
      <c r="N98" s="1475"/>
      <c r="O98" s="1475"/>
      <c r="P98" s="1475"/>
      <c r="Q98" s="554">
        <f>SUM(Q91:Q97)</f>
        <v>0</v>
      </c>
      <c r="R98" s="554">
        <f>SUM(R91:R97)</f>
        <v>0</v>
      </c>
      <c r="S98" s="391"/>
      <c r="T98" s="391"/>
      <c r="U98" s="391"/>
      <c r="V98" s="391"/>
      <c r="W98" s="44"/>
      <c r="X98" s="1474" t="s">
        <v>819</v>
      </c>
      <c r="Y98" s="1475"/>
      <c r="Z98" s="1475"/>
      <c r="AA98" s="1475"/>
      <c r="AB98" s="554">
        <f>SUM(AB91:AB97)</f>
        <v>0</v>
      </c>
      <c r="AC98" s="554">
        <f>SUM(AC91:AC97)</f>
        <v>0</v>
      </c>
      <c r="AD98" s="391"/>
      <c r="AE98" s="391"/>
      <c r="AF98" s="391"/>
      <c r="AG98" s="391"/>
      <c r="AH98" s="44"/>
    </row>
    <row r="99" spans="1:34" s="2" customFormat="1" ht="60" customHeight="1" thickTop="1" x14ac:dyDescent="0.3">
      <c r="A99" s="1269">
        <v>99</v>
      </c>
      <c r="B99" s="320" t="s">
        <v>987</v>
      </c>
      <c r="C99" s="29" t="s">
        <v>19</v>
      </c>
      <c r="D99" s="29" t="s">
        <v>20</v>
      </c>
      <c r="E99" s="29" t="s">
        <v>816</v>
      </c>
      <c r="F99" s="512" t="s">
        <v>118</v>
      </c>
      <c r="G99" s="512" t="s">
        <v>119</v>
      </c>
      <c r="L99" s="44"/>
      <c r="M99" s="1003" t="s">
        <v>987</v>
      </c>
      <c r="N99" s="29" t="s">
        <v>19</v>
      </c>
      <c r="O99" s="29" t="s">
        <v>20</v>
      </c>
      <c r="P99" s="29" t="s">
        <v>816</v>
      </c>
      <c r="Q99" s="607" t="s">
        <v>118</v>
      </c>
      <c r="R99" s="607" t="s">
        <v>119</v>
      </c>
      <c r="W99" s="44"/>
      <c r="X99" s="1003" t="s">
        <v>987</v>
      </c>
      <c r="Y99" s="29" t="s">
        <v>19</v>
      </c>
      <c r="Z99" s="29" t="s">
        <v>20</v>
      </c>
      <c r="AA99" s="29" t="s">
        <v>816</v>
      </c>
      <c r="AB99" s="607" t="s">
        <v>118</v>
      </c>
      <c r="AC99" s="607" t="s">
        <v>119</v>
      </c>
    </row>
    <row r="100" spans="1:34" s="2" customFormat="1" x14ac:dyDescent="0.25">
      <c r="A100" s="1269">
        <v>100</v>
      </c>
      <c r="B100" s="1894"/>
      <c r="C100" s="1895"/>
      <c r="D100" s="1903"/>
      <c r="E100" s="1911"/>
      <c r="F100" s="27">
        <f>D100*E100</f>
        <v>0</v>
      </c>
      <c r="G100" s="27">
        <f>F100</f>
        <v>0</v>
      </c>
      <c r="L100" s="44"/>
      <c r="M100" s="1894"/>
      <c r="N100" s="1895"/>
      <c r="O100" s="1903"/>
      <c r="P100" s="1911"/>
      <c r="Q100" s="27">
        <f>O100*P100</f>
        <v>0</v>
      </c>
      <c r="R100" s="27">
        <f>Q100</f>
        <v>0</v>
      </c>
      <c r="W100" s="44"/>
      <c r="X100" s="127"/>
      <c r="Y100" s="128"/>
      <c r="Z100" s="125"/>
      <c r="AA100" s="472"/>
      <c r="AB100" s="27">
        <f>Z100*AA100</f>
        <v>0</v>
      </c>
      <c r="AC100" s="27">
        <f>AB100</f>
        <v>0</v>
      </c>
    </row>
    <row r="101" spans="1:34" s="2" customFormat="1" x14ac:dyDescent="0.25">
      <c r="A101" s="1269">
        <v>101</v>
      </c>
      <c r="B101" s="1894"/>
      <c r="C101" s="1895"/>
      <c r="D101" s="1903"/>
      <c r="E101" s="1911"/>
      <c r="F101" s="27">
        <f t="shared" ref="F101:F107" si="49">D101*E101</f>
        <v>0</v>
      </c>
      <c r="G101" s="27">
        <f t="shared" ref="G101:G107" si="50">F101</f>
        <v>0</v>
      </c>
      <c r="L101" s="44"/>
      <c r="M101" s="1894"/>
      <c r="N101" s="1895"/>
      <c r="O101" s="1903"/>
      <c r="P101" s="1911"/>
      <c r="Q101" s="27">
        <f t="shared" ref="Q101:Q102" si="51">O101*P101</f>
        <v>0</v>
      </c>
      <c r="R101" s="27">
        <f t="shared" ref="R101:R107" si="52">Q101</f>
        <v>0</v>
      </c>
      <c r="W101" s="44"/>
      <c r="X101" s="127"/>
      <c r="Y101" s="128"/>
      <c r="Z101" s="125"/>
      <c r="AA101" s="472"/>
      <c r="AB101" s="27">
        <f t="shared" ref="AB101:AB102" si="53">Z101*AA101</f>
        <v>0</v>
      </c>
      <c r="AC101" s="27">
        <f t="shared" ref="AC101:AC107" si="54">AB101</f>
        <v>0</v>
      </c>
    </row>
    <row r="102" spans="1:34" s="2" customFormat="1" x14ac:dyDescent="0.25">
      <c r="A102" s="1269">
        <v>102</v>
      </c>
      <c r="B102" s="1894"/>
      <c r="C102" s="1895"/>
      <c r="D102" s="1895"/>
      <c r="E102" s="1912"/>
      <c r="F102" s="27">
        <f t="shared" si="49"/>
        <v>0</v>
      </c>
      <c r="G102" s="27">
        <f t="shared" si="50"/>
        <v>0</v>
      </c>
      <c r="L102" s="44"/>
      <c r="M102" s="1894"/>
      <c r="N102" s="1895"/>
      <c r="O102" s="1895"/>
      <c r="P102" s="1912"/>
      <c r="Q102" s="27">
        <f t="shared" si="51"/>
        <v>0</v>
      </c>
      <c r="R102" s="27">
        <f t="shared" si="52"/>
        <v>0</v>
      </c>
      <c r="W102" s="44"/>
      <c r="X102" s="127"/>
      <c r="Y102" s="128"/>
      <c r="Z102" s="125"/>
      <c r="AA102" s="472"/>
      <c r="AB102" s="27">
        <f t="shared" si="53"/>
        <v>0</v>
      </c>
      <c r="AC102" s="27">
        <f t="shared" si="54"/>
        <v>0</v>
      </c>
    </row>
    <row r="103" spans="1:34" s="2" customFormat="1" x14ac:dyDescent="0.25">
      <c r="A103" s="1269">
        <v>103</v>
      </c>
      <c r="B103" s="1894"/>
      <c r="C103" s="1895"/>
      <c r="D103" s="1903"/>
      <c r="E103" s="1912"/>
      <c r="F103" s="27">
        <f t="shared" ref="F103:F104" si="55">D103*E103</f>
        <v>0</v>
      </c>
      <c r="G103" s="27">
        <f t="shared" ref="G103:G104" si="56">F103</f>
        <v>0</v>
      </c>
      <c r="L103" s="44"/>
      <c r="M103" s="1894"/>
      <c r="N103" s="1895"/>
      <c r="O103" s="1903"/>
      <c r="P103" s="1912"/>
      <c r="Q103" s="27">
        <f t="shared" ref="Q103:Q104" si="57">O103*P103</f>
        <v>0</v>
      </c>
      <c r="R103" s="27">
        <f t="shared" ref="R103:R104" si="58">Q103</f>
        <v>0</v>
      </c>
      <c r="W103" s="44"/>
      <c r="X103" s="127"/>
      <c r="Y103" s="128"/>
      <c r="Z103" s="125"/>
      <c r="AA103" s="472"/>
      <c r="AB103" s="27">
        <f t="shared" ref="AB103:AB104" si="59">Z103*AA103</f>
        <v>0</v>
      </c>
      <c r="AC103" s="27">
        <f t="shared" ref="AC103:AC104" si="60">AB103</f>
        <v>0</v>
      </c>
    </row>
    <row r="104" spans="1:34" s="2" customFormat="1" x14ac:dyDescent="0.25">
      <c r="A104" s="1269">
        <v>104</v>
      </c>
      <c r="B104" s="1905"/>
      <c r="C104" s="1906"/>
      <c r="D104" s="1903"/>
      <c r="E104" s="1911"/>
      <c r="F104" s="27">
        <f t="shared" si="55"/>
        <v>0</v>
      </c>
      <c r="G104" s="27">
        <f t="shared" si="56"/>
        <v>0</v>
      </c>
      <c r="L104" s="44"/>
      <c r="M104" s="1905"/>
      <c r="N104" s="1906"/>
      <c r="O104" s="1903"/>
      <c r="P104" s="1911"/>
      <c r="Q104" s="27">
        <f t="shared" si="57"/>
        <v>0</v>
      </c>
      <c r="R104" s="27">
        <f t="shared" si="58"/>
        <v>0</v>
      </c>
      <c r="W104" s="44"/>
      <c r="X104" s="127"/>
      <c r="Y104" s="128"/>
      <c r="Z104" s="125"/>
      <c r="AA104" s="472"/>
      <c r="AB104" s="27">
        <f t="shared" si="59"/>
        <v>0</v>
      </c>
      <c r="AC104" s="27">
        <f t="shared" si="60"/>
        <v>0</v>
      </c>
    </row>
    <row r="105" spans="1:34" s="2" customFormat="1" x14ac:dyDescent="0.25">
      <c r="A105" s="1269">
        <v>105</v>
      </c>
      <c r="B105" s="1905"/>
      <c r="C105" s="1906"/>
      <c r="D105" s="1903"/>
      <c r="E105" s="1911"/>
      <c r="F105" s="27">
        <f t="shared" si="49"/>
        <v>0</v>
      </c>
      <c r="G105" s="27">
        <f t="shared" si="50"/>
        <v>0</v>
      </c>
      <c r="L105" s="44"/>
      <c r="M105" s="1905"/>
      <c r="N105" s="1906"/>
      <c r="O105" s="1903"/>
      <c r="P105" s="1911"/>
      <c r="Q105" s="27">
        <f t="shared" ref="Q105:Q107" si="61">O105*P105</f>
        <v>0</v>
      </c>
      <c r="R105" s="27">
        <f t="shared" si="52"/>
        <v>0</v>
      </c>
      <c r="W105" s="44"/>
      <c r="X105" s="127"/>
      <c r="Y105" s="128"/>
      <c r="Z105" s="125"/>
      <c r="AA105" s="472"/>
      <c r="AB105" s="27">
        <f t="shared" ref="AB105:AB107" si="62">Z105*AA105</f>
        <v>0</v>
      </c>
      <c r="AC105" s="27">
        <f t="shared" si="54"/>
        <v>0</v>
      </c>
    </row>
    <row r="106" spans="1:34" s="2" customFormat="1" x14ac:dyDescent="0.25">
      <c r="A106" s="1269">
        <v>106</v>
      </c>
      <c r="B106" s="1905"/>
      <c r="C106" s="1906"/>
      <c r="D106" s="1903"/>
      <c r="E106" s="1911"/>
      <c r="F106" s="27">
        <f t="shared" si="49"/>
        <v>0</v>
      </c>
      <c r="G106" s="27">
        <f t="shared" si="50"/>
        <v>0</v>
      </c>
      <c r="L106" s="44"/>
      <c r="M106" s="1905"/>
      <c r="N106" s="1906"/>
      <c r="O106" s="1903"/>
      <c r="P106" s="1911"/>
      <c r="Q106" s="27">
        <f t="shared" si="61"/>
        <v>0</v>
      </c>
      <c r="R106" s="27">
        <f t="shared" si="52"/>
        <v>0</v>
      </c>
      <c r="W106" s="44"/>
      <c r="X106" s="127"/>
      <c r="Y106" s="128"/>
      <c r="Z106" s="125"/>
      <c r="AA106" s="472"/>
      <c r="AB106" s="27">
        <f t="shared" si="62"/>
        <v>0</v>
      </c>
      <c r="AC106" s="27">
        <f t="shared" si="54"/>
        <v>0</v>
      </c>
    </row>
    <row r="107" spans="1:34" s="2" customFormat="1" x14ac:dyDescent="0.25">
      <c r="A107" s="1269">
        <v>107</v>
      </c>
      <c r="B107" s="1905"/>
      <c r="C107" s="1906"/>
      <c r="D107" s="1903"/>
      <c r="E107" s="1911"/>
      <c r="F107" s="27">
        <f t="shared" si="49"/>
        <v>0</v>
      </c>
      <c r="G107" s="27">
        <f t="shared" si="50"/>
        <v>0</v>
      </c>
      <c r="L107" s="44"/>
      <c r="M107" s="1905"/>
      <c r="N107" s="1906"/>
      <c r="O107" s="1903"/>
      <c r="P107" s="1911"/>
      <c r="Q107" s="27">
        <f t="shared" si="61"/>
        <v>0</v>
      </c>
      <c r="R107" s="27">
        <f t="shared" si="52"/>
        <v>0</v>
      </c>
      <c r="W107" s="44"/>
      <c r="X107" s="127"/>
      <c r="Y107" s="128"/>
      <c r="Z107" s="125"/>
      <c r="AA107" s="472"/>
      <c r="AB107" s="27">
        <f t="shared" si="62"/>
        <v>0</v>
      </c>
      <c r="AC107" s="27">
        <f t="shared" si="54"/>
        <v>0</v>
      </c>
    </row>
    <row r="108" spans="1:34" s="2" customFormat="1" ht="15.75" thickBot="1" x14ac:dyDescent="0.3">
      <c r="A108" s="1269">
        <v>108</v>
      </c>
      <c r="B108" s="1474" t="s">
        <v>819</v>
      </c>
      <c r="C108" s="1475"/>
      <c r="D108" s="1475"/>
      <c r="E108" s="1475"/>
      <c r="F108" s="554">
        <f>SUM(F100:F107)</f>
        <v>0</v>
      </c>
      <c r="G108" s="554">
        <f>SUM(G100:G107)</f>
        <v>0</v>
      </c>
      <c r="L108" s="44"/>
      <c r="M108" s="1474" t="s">
        <v>819</v>
      </c>
      <c r="N108" s="1475"/>
      <c r="O108" s="1475"/>
      <c r="P108" s="1475"/>
      <c r="Q108" s="554">
        <f>SUM(Q100:Q107)</f>
        <v>0</v>
      </c>
      <c r="R108" s="554">
        <f>SUM(R100:R107)</f>
        <v>0</v>
      </c>
      <c r="W108" s="44"/>
      <c r="X108" s="1474" t="s">
        <v>819</v>
      </c>
      <c r="Y108" s="1475"/>
      <c r="Z108" s="1475"/>
      <c r="AA108" s="1475"/>
      <c r="AB108" s="554">
        <f>SUM(AB100:AB107)</f>
        <v>0</v>
      </c>
      <c r="AC108" s="554">
        <f>SUM(AC100:AC107)</f>
        <v>0</v>
      </c>
    </row>
    <row r="109" spans="1:34" ht="68.099999999999994" customHeight="1" thickTop="1" x14ac:dyDescent="0.3">
      <c r="A109" s="1269">
        <v>109</v>
      </c>
      <c r="B109" s="1571" t="s">
        <v>881</v>
      </c>
      <c r="C109" s="1572"/>
      <c r="D109" s="30" t="s">
        <v>21</v>
      </c>
      <c r="E109" s="29" t="s">
        <v>885</v>
      </c>
      <c r="F109" s="34" t="s">
        <v>118</v>
      </c>
      <c r="G109" s="34" t="s">
        <v>119</v>
      </c>
      <c r="M109" s="1571" t="s">
        <v>881</v>
      </c>
      <c r="N109" s="1572"/>
      <c r="O109" s="30" t="s">
        <v>21</v>
      </c>
      <c r="P109" s="29" t="s">
        <v>885</v>
      </c>
      <c r="Q109" s="607" t="s">
        <v>118</v>
      </c>
      <c r="R109" s="607" t="s">
        <v>119</v>
      </c>
      <c r="S109" s="391"/>
      <c r="T109" s="391"/>
      <c r="U109" s="391"/>
      <c r="V109" s="391"/>
      <c r="X109" s="1571" t="s">
        <v>881</v>
      </c>
      <c r="Y109" s="1572"/>
      <c r="Z109" s="30" t="s">
        <v>21</v>
      </c>
      <c r="AA109" s="29" t="s">
        <v>885</v>
      </c>
      <c r="AB109" s="607" t="s">
        <v>118</v>
      </c>
      <c r="AC109" s="607" t="s">
        <v>119</v>
      </c>
      <c r="AD109" s="391"/>
      <c r="AE109" s="391"/>
      <c r="AF109" s="391"/>
      <c r="AG109" s="391"/>
    </row>
    <row r="110" spans="1:34" x14ac:dyDescent="0.25">
      <c r="A110" s="1269">
        <v>110</v>
      </c>
      <c r="B110" s="1882"/>
      <c r="C110" s="1883"/>
      <c r="D110" s="1895"/>
      <c r="E110" s="1897"/>
      <c r="F110" s="35">
        <f>D110*E110</f>
        <v>0</v>
      </c>
      <c r="G110" s="35">
        <f>F110</f>
        <v>0</v>
      </c>
      <c r="M110" s="1882"/>
      <c r="N110" s="1883"/>
      <c r="O110" s="1895"/>
      <c r="P110" s="1897"/>
      <c r="Q110" s="35">
        <f>O110*P110</f>
        <v>0</v>
      </c>
      <c r="R110" s="35">
        <f>Q110</f>
        <v>0</v>
      </c>
      <c r="S110" s="391"/>
      <c r="T110" s="391"/>
      <c r="U110" s="391"/>
      <c r="V110" s="391"/>
      <c r="X110" s="1476"/>
      <c r="Y110" s="1477"/>
      <c r="Z110" s="579"/>
      <c r="AA110" s="581"/>
      <c r="AB110" s="35">
        <f>Z110*AA110</f>
        <v>0</v>
      </c>
      <c r="AC110" s="35">
        <f>AB110</f>
        <v>0</v>
      </c>
      <c r="AD110" s="391"/>
      <c r="AE110" s="391"/>
      <c r="AF110" s="391"/>
      <c r="AG110" s="391"/>
    </row>
    <row r="111" spans="1:34" x14ac:dyDescent="0.25">
      <c r="A111" s="1269">
        <v>111</v>
      </c>
      <c r="B111" s="1882"/>
      <c r="C111" s="1883"/>
      <c r="D111" s="1895"/>
      <c r="E111" s="1897"/>
      <c r="F111" s="35">
        <f t="shared" ref="F111:F117" si="63">D111*E111</f>
        <v>0</v>
      </c>
      <c r="G111" s="35">
        <f t="shared" ref="G111:G117" si="64">F111</f>
        <v>0</v>
      </c>
      <c r="M111" s="1882"/>
      <c r="N111" s="1883"/>
      <c r="O111" s="1895"/>
      <c r="P111" s="1897"/>
      <c r="Q111" s="35">
        <f t="shared" ref="Q111:Q112" si="65">O111*P111</f>
        <v>0</v>
      </c>
      <c r="R111" s="35">
        <f t="shared" ref="R111:R112" si="66">Q111</f>
        <v>0</v>
      </c>
      <c r="S111" s="391"/>
      <c r="T111" s="391"/>
      <c r="U111" s="391"/>
      <c r="V111" s="391"/>
      <c r="X111" s="1476"/>
      <c r="Y111" s="1477"/>
      <c r="Z111" s="579"/>
      <c r="AA111" s="581"/>
      <c r="AB111" s="35">
        <f t="shared" ref="AB111:AB112" si="67">Z111*AA111</f>
        <v>0</v>
      </c>
      <c r="AC111" s="35">
        <f t="shared" ref="AC111:AC112" si="68">AB111</f>
        <v>0</v>
      </c>
      <c r="AD111" s="391"/>
      <c r="AE111" s="391"/>
      <c r="AF111" s="391"/>
      <c r="AG111" s="391"/>
    </row>
    <row r="112" spans="1:34" x14ac:dyDescent="0.25">
      <c r="A112" s="1269">
        <v>112</v>
      </c>
      <c r="B112" s="1882"/>
      <c r="C112" s="1883"/>
      <c r="D112" s="1895"/>
      <c r="E112" s="1897"/>
      <c r="F112" s="35">
        <f t="shared" si="63"/>
        <v>0</v>
      </c>
      <c r="G112" s="35">
        <f t="shared" si="64"/>
        <v>0</v>
      </c>
      <c r="M112" s="1882"/>
      <c r="N112" s="1883"/>
      <c r="O112" s="1895"/>
      <c r="P112" s="1897"/>
      <c r="Q112" s="35">
        <f t="shared" si="65"/>
        <v>0</v>
      </c>
      <c r="R112" s="35">
        <f t="shared" si="66"/>
        <v>0</v>
      </c>
      <c r="S112" s="391"/>
      <c r="T112" s="391"/>
      <c r="U112" s="391"/>
      <c r="V112" s="391"/>
      <c r="X112" s="1476"/>
      <c r="Y112" s="1477"/>
      <c r="Z112" s="579"/>
      <c r="AA112" s="581"/>
      <c r="AB112" s="35">
        <f t="shared" si="67"/>
        <v>0</v>
      </c>
      <c r="AC112" s="35">
        <f t="shared" si="68"/>
        <v>0</v>
      </c>
      <c r="AD112" s="391"/>
      <c r="AE112" s="391"/>
      <c r="AF112" s="391"/>
      <c r="AG112" s="391"/>
    </row>
    <row r="113" spans="1:34" s="391" customFormat="1" x14ac:dyDescent="0.25">
      <c r="A113" s="1269">
        <v>113</v>
      </c>
      <c r="B113" s="1913"/>
      <c r="C113" s="1914"/>
      <c r="D113" s="1895"/>
      <c r="E113" s="1897"/>
      <c r="F113" s="35">
        <f t="shared" ref="F113" si="69">D113*E113</f>
        <v>0</v>
      </c>
      <c r="G113" s="35">
        <f t="shared" ref="G113" si="70">F113</f>
        <v>0</v>
      </c>
      <c r="L113" s="44"/>
      <c r="M113" s="1913"/>
      <c r="N113" s="1914"/>
      <c r="O113" s="1895"/>
      <c r="P113" s="1897"/>
      <c r="Q113" s="35">
        <f t="shared" ref="Q113" si="71">O113*P113</f>
        <v>0</v>
      </c>
      <c r="R113" s="35">
        <f t="shared" ref="R113" si="72">Q113</f>
        <v>0</v>
      </c>
      <c r="W113" s="44"/>
      <c r="X113" s="1476"/>
      <c r="Y113" s="1477"/>
      <c r="Z113" s="509"/>
      <c r="AA113" s="581"/>
      <c r="AB113" s="35">
        <f t="shared" ref="AB113" si="73">Z113*AA113</f>
        <v>0</v>
      </c>
      <c r="AC113" s="35">
        <f t="shared" ref="AC113" si="74">AB113</f>
        <v>0</v>
      </c>
      <c r="AH113" s="44"/>
    </row>
    <row r="114" spans="1:34" x14ac:dyDescent="0.25">
      <c r="A114" s="1269">
        <v>114</v>
      </c>
      <c r="B114" s="1915"/>
      <c r="C114" s="1916"/>
      <c r="D114" s="1895"/>
      <c r="E114" s="1897"/>
      <c r="F114" s="35">
        <f t="shared" si="63"/>
        <v>0</v>
      </c>
      <c r="G114" s="35">
        <f t="shared" si="64"/>
        <v>0</v>
      </c>
      <c r="M114" s="1915"/>
      <c r="N114" s="1916"/>
      <c r="O114" s="1895"/>
      <c r="P114" s="1897"/>
      <c r="Q114" s="35">
        <f t="shared" ref="Q114:Q117" si="75">O114*P114</f>
        <v>0</v>
      </c>
      <c r="R114" s="35">
        <f t="shared" ref="R114:R117" si="76">Q114</f>
        <v>0</v>
      </c>
      <c r="S114" s="391"/>
      <c r="T114" s="391"/>
      <c r="U114" s="391"/>
      <c r="V114" s="391"/>
      <c r="X114" s="1476"/>
      <c r="Y114" s="1477"/>
      <c r="Z114" s="509"/>
      <c r="AA114" s="581"/>
      <c r="AB114" s="35">
        <f t="shared" ref="AB114:AB117" si="77">Z114*AA114</f>
        <v>0</v>
      </c>
      <c r="AC114" s="35">
        <f t="shared" ref="AC114:AC117" si="78">AB114</f>
        <v>0</v>
      </c>
      <c r="AD114" s="391"/>
      <c r="AE114" s="391"/>
      <c r="AF114" s="391"/>
      <c r="AG114" s="391"/>
    </row>
    <row r="115" spans="1:34" x14ac:dyDescent="0.25">
      <c r="A115" s="1269">
        <v>115</v>
      </c>
      <c r="B115" s="1882"/>
      <c r="C115" s="1883"/>
      <c r="D115" s="1895"/>
      <c r="E115" s="1897"/>
      <c r="F115" s="35">
        <f t="shared" si="63"/>
        <v>0</v>
      </c>
      <c r="G115" s="35">
        <f t="shared" si="64"/>
        <v>0</v>
      </c>
      <c r="M115" s="1882"/>
      <c r="N115" s="1883"/>
      <c r="O115" s="1895"/>
      <c r="P115" s="1897"/>
      <c r="Q115" s="35">
        <f t="shared" si="75"/>
        <v>0</v>
      </c>
      <c r="R115" s="35">
        <f t="shared" si="76"/>
        <v>0</v>
      </c>
      <c r="S115" s="391"/>
      <c r="T115" s="391"/>
      <c r="U115" s="391"/>
      <c r="V115" s="391"/>
      <c r="X115" s="1476"/>
      <c r="Y115" s="1477"/>
      <c r="Z115" s="509"/>
      <c r="AA115" s="581"/>
      <c r="AB115" s="35">
        <f t="shared" si="77"/>
        <v>0</v>
      </c>
      <c r="AC115" s="35">
        <f t="shared" si="78"/>
        <v>0</v>
      </c>
      <c r="AD115" s="391"/>
      <c r="AE115" s="391"/>
      <c r="AF115" s="391"/>
      <c r="AG115" s="391"/>
    </row>
    <row r="116" spans="1:34" x14ac:dyDescent="0.25">
      <c r="A116" s="1269">
        <v>116</v>
      </c>
      <c r="B116" s="1882"/>
      <c r="C116" s="1883"/>
      <c r="D116" s="1895"/>
      <c r="E116" s="1897"/>
      <c r="F116" s="35">
        <f t="shared" si="63"/>
        <v>0</v>
      </c>
      <c r="G116" s="35">
        <f t="shared" si="64"/>
        <v>0</v>
      </c>
      <c r="M116" s="1882"/>
      <c r="N116" s="1883"/>
      <c r="O116" s="1895"/>
      <c r="P116" s="1897"/>
      <c r="Q116" s="35">
        <f t="shared" si="75"/>
        <v>0</v>
      </c>
      <c r="R116" s="35">
        <f t="shared" si="76"/>
        <v>0</v>
      </c>
      <c r="S116" s="391"/>
      <c r="T116" s="391"/>
      <c r="U116" s="391"/>
      <c r="V116" s="391"/>
      <c r="X116" s="1476"/>
      <c r="Y116" s="1477"/>
      <c r="Z116" s="509"/>
      <c r="AA116" s="581"/>
      <c r="AB116" s="35">
        <f t="shared" si="77"/>
        <v>0</v>
      </c>
      <c r="AC116" s="35">
        <f t="shared" si="78"/>
        <v>0</v>
      </c>
      <c r="AD116" s="391"/>
      <c r="AE116" s="391"/>
      <c r="AF116" s="391"/>
      <c r="AG116" s="391"/>
    </row>
    <row r="117" spans="1:34" x14ac:dyDescent="0.25">
      <c r="A117" s="1269">
        <v>117</v>
      </c>
      <c r="B117" s="1882"/>
      <c r="C117" s="1883"/>
      <c r="D117" s="1895"/>
      <c r="E117" s="1897"/>
      <c r="F117" s="35">
        <f t="shared" si="63"/>
        <v>0</v>
      </c>
      <c r="G117" s="35">
        <f t="shared" si="64"/>
        <v>0</v>
      </c>
      <c r="M117" s="1882"/>
      <c r="N117" s="1883"/>
      <c r="O117" s="1895"/>
      <c r="P117" s="1897"/>
      <c r="Q117" s="35">
        <f t="shared" si="75"/>
        <v>0</v>
      </c>
      <c r="R117" s="35">
        <f t="shared" si="76"/>
        <v>0</v>
      </c>
      <c r="S117" s="391"/>
      <c r="T117" s="391"/>
      <c r="U117" s="391"/>
      <c r="V117" s="391"/>
      <c r="X117" s="1476"/>
      <c r="Y117" s="1477"/>
      <c r="Z117" s="509"/>
      <c r="AA117" s="581"/>
      <c r="AB117" s="35">
        <f t="shared" si="77"/>
        <v>0</v>
      </c>
      <c r="AC117" s="35">
        <f t="shared" si="78"/>
        <v>0</v>
      </c>
      <c r="AD117" s="391"/>
      <c r="AE117" s="391"/>
      <c r="AF117" s="391"/>
      <c r="AG117" s="391"/>
    </row>
    <row r="118" spans="1:34" ht="15.75" thickBot="1" x14ac:dyDescent="0.3">
      <c r="A118" s="1269">
        <v>118</v>
      </c>
      <c r="B118" s="1474" t="s">
        <v>819</v>
      </c>
      <c r="C118" s="1475"/>
      <c r="D118" s="1475"/>
      <c r="E118" s="1475"/>
      <c r="F118" s="1238">
        <f>SUM(F110:F117)</f>
        <v>0</v>
      </c>
      <c r="G118" s="1238">
        <f>SUM(G110:G117)</f>
        <v>0</v>
      </c>
      <c r="M118" s="1474" t="s">
        <v>819</v>
      </c>
      <c r="N118" s="1475"/>
      <c r="O118" s="1475"/>
      <c r="P118" s="1475"/>
      <c r="Q118" s="1238">
        <f>SUM(Q110:Q117)</f>
        <v>0</v>
      </c>
      <c r="R118" s="1238">
        <f>SUM(R110:R117)</f>
        <v>0</v>
      </c>
      <c r="S118" s="391"/>
      <c r="T118" s="391"/>
      <c r="U118" s="391"/>
      <c r="V118" s="391"/>
      <c r="X118" s="1474" t="s">
        <v>819</v>
      </c>
      <c r="Y118" s="1475"/>
      <c r="Z118" s="1475"/>
      <c r="AA118" s="1475"/>
      <c r="AB118" s="1238">
        <f>SUM(AB110:AB117)</f>
        <v>0</v>
      </c>
      <c r="AC118" s="1238">
        <f>SUM(AC110:AC117)</f>
        <v>0</v>
      </c>
      <c r="AD118" s="391"/>
      <c r="AE118" s="391"/>
      <c r="AF118" s="391"/>
      <c r="AG118" s="391"/>
    </row>
    <row r="119" spans="1:34" x14ac:dyDescent="0.25">
      <c r="A119" s="1269">
        <v>119</v>
      </c>
      <c r="B119" s="1469" t="s">
        <v>1053</v>
      </c>
      <c r="C119" s="1470"/>
      <c r="D119" s="1470"/>
      <c r="E119" s="1470"/>
      <c r="F119" s="1239">
        <f>F98+F108+F118</f>
        <v>0</v>
      </c>
      <c r="G119" s="1239">
        <f>G98+G108+G118</f>
        <v>0</v>
      </c>
      <c r="M119" s="1469" t="s">
        <v>1053</v>
      </c>
      <c r="N119" s="1470"/>
      <c r="O119" s="1470"/>
      <c r="P119" s="1470"/>
      <c r="Q119" s="1251">
        <f>Q98+Q108+Q118</f>
        <v>0</v>
      </c>
      <c r="R119" s="1251">
        <f>R98+R108+R118</f>
        <v>0</v>
      </c>
      <c r="S119" s="391"/>
      <c r="T119" s="391"/>
      <c r="U119" s="391"/>
      <c r="V119" s="391"/>
      <c r="X119" s="1469" t="s">
        <v>1053</v>
      </c>
      <c r="Y119" s="1470"/>
      <c r="Z119" s="1470"/>
      <c r="AA119" s="1470"/>
      <c r="AB119" s="1251">
        <f>AB98+AB108+AB118</f>
        <v>0</v>
      </c>
      <c r="AC119" s="1251">
        <f>AC98+AC108+AC118</f>
        <v>0</v>
      </c>
      <c r="AD119" s="391"/>
      <c r="AE119" s="391"/>
      <c r="AF119" s="391"/>
      <c r="AG119" s="391"/>
    </row>
    <row r="120" spans="1:34" s="139" customFormat="1" ht="138" customHeight="1" x14ac:dyDescent="0.25">
      <c r="A120" s="1269">
        <v>120</v>
      </c>
      <c r="B120" s="1464" t="s">
        <v>988</v>
      </c>
      <c r="C120" s="1465"/>
      <c r="D120" s="1465"/>
      <c r="E120" s="1465"/>
      <c r="F120" s="1465"/>
      <c r="G120" s="1465"/>
      <c r="H120" s="1465"/>
      <c r="I120" s="1465"/>
      <c r="J120" s="1466"/>
      <c r="L120" s="44"/>
      <c r="M120" s="1464" t="s">
        <v>988</v>
      </c>
      <c r="N120" s="1465"/>
      <c r="O120" s="1465"/>
      <c r="P120" s="1465"/>
      <c r="Q120" s="1465"/>
      <c r="R120" s="1465"/>
      <c r="S120" s="1465"/>
      <c r="T120" s="1465"/>
      <c r="U120" s="1466"/>
      <c r="V120" s="391"/>
      <c r="W120" s="44"/>
      <c r="X120" s="1464" t="s">
        <v>988</v>
      </c>
      <c r="Y120" s="1465"/>
      <c r="Z120" s="1465"/>
      <c r="AA120" s="1465"/>
      <c r="AB120" s="1465"/>
      <c r="AC120" s="1465"/>
      <c r="AD120" s="1465"/>
      <c r="AE120" s="1465"/>
      <c r="AF120" s="1466"/>
      <c r="AG120" s="391"/>
      <c r="AH120" s="44"/>
    </row>
    <row r="121" spans="1:34" s="139" customFormat="1" x14ac:dyDescent="0.25">
      <c r="A121" s="1269">
        <v>121</v>
      </c>
      <c r="B121" s="146"/>
      <c r="C121" s="146"/>
      <c r="D121" s="146"/>
      <c r="E121" s="146"/>
      <c r="F121" s="146"/>
      <c r="G121" s="146"/>
      <c r="L121" s="44"/>
      <c r="M121" s="146"/>
      <c r="N121" s="146"/>
      <c r="O121" s="146"/>
      <c r="P121" s="146"/>
      <c r="Q121" s="146"/>
      <c r="R121" s="146"/>
      <c r="S121" s="152"/>
      <c r="T121" s="152"/>
      <c r="U121" s="152"/>
      <c r="V121" s="152"/>
      <c r="W121" s="44"/>
      <c r="X121" s="146"/>
      <c r="Y121" s="146"/>
      <c r="Z121" s="146"/>
      <c r="AA121" s="146"/>
      <c r="AB121" s="146"/>
      <c r="AC121" s="146"/>
      <c r="AD121" s="195"/>
      <c r="AE121" s="195"/>
      <c r="AF121" s="195"/>
      <c r="AG121" s="195"/>
      <c r="AH121" s="44"/>
    </row>
    <row r="122" spans="1:34" ht="15.75" thickBot="1" x14ac:dyDescent="0.3">
      <c r="A122" s="1269">
        <v>122</v>
      </c>
      <c r="M122" s="152"/>
      <c r="N122" s="152"/>
      <c r="O122" s="152"/>
      <c r="P122" s="152"/>
      <c r="Q122" s="152"/>
      <c r="R122" s="152"/>
      <c r="S122" s="152"/>
      <c r="T122" s="152"/>
      <c r="U122" s="152"/>
      <c r="V122" s="152"/>
    </row>
    <row r="123" spans="1:34" ht="18.75" x14ac:dyDescent="0.3">
      <c r="A123" s="1269">
        <v>123</v>
      </c>
      <c r="B123" s="1510" t="s">
        <v>124</v>
      </c>
      <c r="C123" s="1511"/>
      <c r="D123" s="1511"/>
      <c r="E123" s="1511"/>
      <c r="F123" s="1512"/>
      <c r="M123" s="1510" t="s">
        <v>124</v>
      </c>
      <c r="N123" s="1511"/>
      <c r="O123" s="1511"/>
      <c r="P123" s="1511"/>
      <c r="Q123" s="1512"/>
      <c r="R123" s="152"/>
      <c r="S123" s="152"/>
      <c r="T123" s="152"/>
      <c r="U123" s="152"/>
      <c r="V123" s="152"/>
      <c r="X123" s="1510" t="s">
        <v>124</v>
      </c>
      <c r="Y123" s="1511"/>
      <c r="Z123" s="1511"/>
      <c r="AA123" s="1511"/>
      <c r="AB123" s="1512"/>
    </row>
    <row r="124" spans="1:34" ht="30" customHeight="1" x14ac:dyDescent="0.25">
      <c r="A124" s="1269">
        <v>124</v>
      </c>
      <c r="B124" s="1526" t="s">
        <v>10</v>
      </c>
      <c r="C124" s="1527"/>
      <c r="D124" s="1528"/>
      <c r="E124" s="34" t="s">
        <v>118</v>
      </c>
      <c r="F124" s="34" t="s">
        <v>119</v>
      </c>
      <c r="M124" s="1526" t="s">
        <v>10</v>
      </c>
      <c r="N124" s="1527"/>
      <c r="O124" s="1528"/>
      <c r="P124" s="34" t="s">
        <v>118</v>
      </c>
      <c r="Q124" s="34" t="s">
        <v>119</v>
      </c>
      <c r="R124" s="152"/>
      <c r="S124" s="152"/>
      <c r="T124" s="152"/>
      <c r="U124" s="152"/>
      <c r="V124" s="152"/>
      <c r="X124" s="1526" t="s">
        <v>10</v>
      </c>
      <c r="Y124" s="1527"/>
      <c r="Z124" s="1528"/>
      <c r="AA124" s="34" t="s">
        <v>118</v>
      </c>
      <c r="AB124" s="34" t="s">
        <v>119</v>
      </c>
    </row>
    <row r="125" spans="1:34" x14ac:dyDescent="0.25">
      <c r="A125" s="1269">
        <v>125</v>
      </c>
      <c r="B125" s="1882"/>
      <c r="C125" s="1883"/>
      <c r="D125" s="1883"/>
      <c r="E125" s="1897"/>
      <c r="F125" s="1884"/>
      <c r="M125" s="1882"/>
      <c r="N125" s="1883"/>
      <c r="O125" s="1883"/>
      <c r="P125" s="1897"/>
      <c r="Q125" s="1884"/>
      <c r="R125" s="152"/>
      <c r="S125" s="152"/>
      <c r="T125" s="152"/>
      <c r="U125" s="152"/>
      <c r="V125" s="152"/>
      <c r="X125" s="1476"/>
      <c r="Y125" s="1477"/>
      <c r="Z125" s="1477"/>
      <c r="AA125" s="123"/>
      <c r="AB125" s="124"/>
    </row>
    <row r="126" spans="1:34" x14ac:dyDescent="0.25">
      <c r="A126" s="1269">
        <v>126</v>
      </c>
      <c r="B126" s="1882"/>
      <c r="C126" s="1883"/>
      <c r="D126" s="1883"/>
      <c r="E126" s="1897"/>
      <c r="F126" s="1884"/>
      <c r="M126" s="1882"/>
      <c r="N126" s="1883"/>
      <c r="O126" s="1883"/>
      <c r="P126" s="1897"/>
      <c r="Q126" s="1884"/>
      <c r="R126" s="152"/>
      <c r="S126" s="152"/>
      <c r="T126" s="152"/>
      <c r="U126" s="152"/>
      <c r="V126" s="152"/>
      <c r="X126" s="1476"/>
      <c r="Y126" s="1477"/>
      <c r="Z126" s="1477"/>
      <c r="AA126" s="123"/>
      <c r="AB126" s="124"/>
    </row>
    <row r="127" spans="1:34" hidden="1" x14ac:dyDescent="0.25">
      <c r="A127" s="1269">
        <v>127</v>
      </c>
      <c r="B127" s="1882"/>
      <c r="C127" s="1883"/>
      <c r="D127" s="1883"/>
      <c r="E127" s="1897"/>
      <c r="F127" s="1884"/>
      <c r="M127" s="1882"/>
      <c r="N127" s="1883"/>
      <c r="O127" s="1883"/>
      <c r="P127" s="1897"/>
      <c r="Q127" s="1884"/>
      <c r="R127" s="152"/>
      <c r="S127" s="152"/>
      <c r="T127" s="152"/>
      <c r="U127" s="152"/>
      <c r="V127" s="152"/>
      <c r="X127" s="1476"/>
      <c r="Y127" s="1477"/>
      <c r="Z127" s="1477"/>
      <c r="AA127" s="123"/>
      <c r="AB127" s="124"/>
    </row>
    <row r="128" spans="1:34" hidden="1" x14ac:dyDescent="0.25">
      <c r="A128" s="1269">
        <v>128</v>
      </c>
      <c r="B128" s="1882"/>
      <c r="C128" s="1883"/>
      <c r="D128" s="1883"/>
      <c r="E128" s="1897"/>
      <c r="F128" s="1884"/>
      <c r="M128" s="1882"/>
      <c r="N128" s="1883"/>
      <c r="O128" s="1883"/>
      <c r="P128" s="1897"/>
      <c r="Q128" s="1884"/>
      <c r="R128" s="152"/>
      <c r="S128" s="152"/>
      <c r="T128" s="152"/>
      <c r="U128" s="152"/>
      <c r="V128" s="152"/>
      <c r="X128" s="1476"/>
      <c r="Y128" s="1477"/>
      <c r="Z128" s="1477"/>
      <c r="AA128" s="123"/>
      <c r="AB128" s="124"/>
    </row>
    <row r="129" spans="1:34" hidden="1" x14ac:dyDescent="0.25">
      <c r="A129" s="1269">
        <v>129</v>
      </c>
      <c r="B129" s="1882"/>
      <c r="C129" s="1883"/>
      <c r="D129" s="1883"/>
      <c r="E129" s="1897"/>
      <c r="F129" s="1884"/>
      <c r="M129" s="1882"/>
      <c r="N129" s="1883"/>
      <c r="O129" s="1883"/>
      <c r="P129" s="1897"/>
      <c r="Q129" s="1884"/>
      <c r="R129" s="152"/>
      <c r="S129" s="152"/>
      <c r="T129" s="152"/>
      <c r="U129" s="152"/>
      <c r="V129" s="152"/>
      <c r="X129" s="1476"/>
      <c r="Y129" s="1477"/>
      <c r="Z129" s="1477"/>
      <c r="AA129" s="123"/>
      <c r="AB129" s="124"/>
    </row>
    <row r="130" spans="1:34" x14ac:dyDescent="0.25">
      <c r="A130" s="1269">
        <v>130</v>
      </c>
      <c r="B130" s="1882"/>
      <c r="C130" s="1883"/>
      <c r="D130" s="1883"/>
      <c r="E130" s="1897"/>
      <c r="F130" s="1884"/>
      <c r="M130" s="1882"/>
      <c r="N130" s="1883"/>
      <c r="O130" s="1883"/>
      <c r="P130" s="1897"/>
      <c r="Q130" s="1884"/>
      <c r="R130" s="152"/>
      <c r="S130" s="152"/>
      <c r="T130" s="152"/>
      <c r="U130" s="152"/>
      <c r="V130" s="152"/>
      <c r="X130" s="1476"/>
      <c r="Y130" s="1477"/>
      <c r="Z130" s="1477"/>
      <c r="AA130" s="123"/>
      <c r="AB130" s="124"/>
    </row>
    <row r="131" spans="1:34" x14ac:dyDescent="0.25">
      <c r="A131" s="1269">
        <v>131</v>
      </c>
      <c r="B131" s="1882"/>
      <c r="C131" s="1883"/>
      <c r="D131" s="1883"/>
      <c r="E131" s="1897"/>
      <c r="F131" s="1884"/>
      <c r="M131" s="1882"/>
      <c r="N131" s="1883"/>
      <c r="O131" s="1883"/>
      <c r="P131" s="1897"/>
      <c r="Q131" s="1884"/>
      <c r="R131" s="152"/>
      <c r="S131" s="152"/>
      <c r="T131" s="152"/>
      <c r="U131" s="152"/>
      <c r="V131" s="152"/>
      <c r="X131" s="1476"/>
      <c r="Y131" s="1477"/>
      <c r="Z131" s="1477"/>
      <c r="AA131" s="123"/>
      <c r="AB131" s="124"/>
    </row>
    <row r="132" spans="1:34" ht="15.75" thickBot="1" x14ac:dyDescent="0.3">
      <c r="A132" s="1269">
        <v>132</v>
      </c>
      <c r="B132" s="1488" t="s">
        <v>1054</v>
      </c>
      <c r="C132" s="1489"/>
      <c r="D132" s="1489"/>
      <c r="E132" s="1231">
        <f>SUM(E125:E131)</f>
        <v>0</v>
      </c>
      <c r="F132" s="1231">
        <f>SUM(F125:F131)</f>
        <v>0</v>
      </c>
      <c r="M132" s="1488" t="s">
        <v>1054</v>
      </c>
      <c r="N132" s="1489"/>
      <c r="O132" s="1489"/>
      <c r="P132" s="1231">
        <f>SUM(P125:P131)</f>
        <v>0</v>
      </c>
      <c r="Q132" s="1231">
        <f>SUM(Q125:Q131)</f>
        <v>0</v>
      </c>
      <c r="R132" s="152"/>
      <c r="S132" s="152"/>
      <c r="T132" s="152"/>
      <c r="U132" s="152"/>
      <c r="V132" s="152"/>
      <c r="X132" s="1488" t="s">
        <v>1054</v>
      </c>
      <c r="Y132" s="1489"/>
      <c r="Z132" s="1489"/>
      <c r="AA132" s="1231">
        <f>SUM(AA125:AA131)</f>
        <v>0</v>
      </c>
      <c r="AB132" s="1231">
        <f>SUM(AB125:AB131)</f>
        <v>0</v>
      </c>
    </row>
    <row r="133" spans="1:34" x14ac:dyDescent="0.25">
      <c r="A133" s="1269">
        <v>133</v>
      </c>
      <c r="M133" s="152"/>
      <c r="N133" s="152"/>
      <c r="O133" s="152"/>
      <c r="P133" s="152"/>
      <c r="Q133" s="152"/>
      <c r="R133" s="152"/>
      <c r="S133" s="152"/>
      <c r="T133" s="152"/>
      <c r="U133" s="152"/>
      <c r="V133" s="152"/>
    </row>
    <row r="134" spans="1:34" s="108" customFormat="1" ht="15.75" thickBot="1" x14ac:dyDescent="0.3">
      <c r="A134" s="1269">
        <v>134</v>
      </c>
      <c r="L134" s="44"/>
      <c r="M134" s="152"/>
      <c r="N134" s="152"/>
      <c r="O134" s="152"/>
      <c r="P134" s="152"/>
      <c r="Q134" s="152"/>
      <c r="R134" s="152"/>
      <c r="S134" s="152"/>
      <c r="T134" s="152"/>
      <c r="U134" s="152"/>
      <c r="V134" s="152"/>
      <c r="W134" s="44"/>
      <c r="X134" s="195"/>
      <c r="Y134" s="195"/>
      <c r="Z134" s="195"/>
      <c r="AA134" s="195"/>
      <c r="AB134" s="195"/>
      <c r="AC134" s="195"/>
      <c r="AD134" s="195"/>
      <c r="AE134" s="195"/>
      <c r="AF134" s="195"/>
      <c r="AG134" s="195"/>
      <c r="AH134" s="44"/>
    </row>
    <row r="135" spans="1:34" ht="18.75" x14ac:dyDescent="0.3">
      <c r="A135" s="1269">
        <v>135</v>
      </c>
      <c r="B135" s="1507" t="s">
        <v>125</v>
      </c>
      <c r="C135" s="1508"/>
      <c r="D135" s="1508"/>
      <c r="E135" s="1508"/>
      <c r="F135" s="1508"/>
      <c r="G135" s="1508"/>
      <c r="H135" s="1508"/>
      <c r="I135" s="1508"/>
      <c r="J135" s="1508"/>
      <c r="K135" s="1543"/>
      <c r="L135" s="45"/>
      <c r="M135" s="1507" t="s">
        <v>125</v>
      </c>
      <c r="N135" s="1508"/>
      <c r="O135" s="1508"/>
      <c r="P135" s="1508"/>
      <c r="Q135" s="1508"/>
      <c r="R135" s="1508"/>
      <c r="S135" s="1508"/>
      <c r="T135" s="1508"/>
      <c r="U135" s="1508"/>
      <c r="V135" s="1509"/>
      <c r="X135" s="1507" t="s">
        <v>125</v>
      </c>
      <c r="Y135" s="1508"/>
      <c r="Z135" s="1508"/>
      <c r="AA135" s="1508"/>
      <c r="AB135" s="1508"/>
      <c r="AC135" s="1508"/>
      <c r="AD135" s="1508"/>
      <c r="AE135" s="1508"/>
      <c r="AF135" s="1508"/>
      <c r="AG135" s="1509"/>
    </row>
    <row r="136" spans="1:34" s="108" customFormat="1" ht="73.5" customHeight="1" x14ac:dyDescent="0.3">
      <c r="A136" s="1269">
        <v>136</v>
      </c>
      <c r="B136" s="113" t="s">
        <v>126</v>
      </c>
      <c r="C136" s="114" t="s">
        <v>97</v>
      </c>
      <c r="D136" s="114" t="s">
        <v>98</v>
      </c>
      <c r="E136" s="114" t="s">
        <v>886</v>
      </c>
      <c r="F136" s="114" t="s">
        <v>887</v>
      </c>
      <c r="G136" s="114" t="s">
        <v>101</v>
      </c>
      <c r="H136" s="114" t="s">
        <v>127</v>
      </c>
      <c r="I136" s="114" t="s">
        <v>639</v>
      </c>
      <c r="J136" s="114" t="s">
        <v>99</v>
      </c>
      <c r="K136" s="115" t="s">
        <v>100</v>
      </c>
      <c r="L136" s="45"/>
      <c r="M136" s="113" t="s">
        <v>126</v>
      </c>
      <c r="N136" s="114" t="s">
        <v>97</v>
      </c>
      <c r="O136" s="114" t="s">
        <v>98</v>
      </c>
      <c r="P136" s="114" t="s">
        <v>886</v>
      </c>
      <c r="Q136" s="114" t="s">
        <v>887</v>
      </c>
      <c r="R136" s="114" t="s">
        <v>101</v>
      </c>
      <c r="S136" s="114" t="s">
        <v>127</v>
      </c>
      <c r="T136" s="114" t="s">
        <v>128</v>
      </c>
      <c r="U136" s="114" t="s">
        <v>99</v>
      </c>
      <c r="V136" s="115" t="s">
        <v>100</v>
      </c>
      <c r="W136" s="44"/>
      <c r="X136" s="113" t="s">
        <v>126</v>
      </c>
      <c r="Y136" s="114" t="s">
        <v>97</v>
      </c>
      <c r="Z136" s="114" t="s">
        <v>98</v>
      </c>
      <c r="AA136" s="114" t="s">
        <v>886</v>
      </c>
      <c r="AB136" s="114" t="s">
        <v>887</v>
      </c>
      <c r="AC136" s="114" t="s">
        <v>101</v>
      </c>
      <c r="AD136" s="114" t="s">
        <v>127</v>
      </c>
      <c r="AE136" s="114" t="s">
        <v>128</v>
      </c>
      <c r="AF136" s="114" t="s">
        <v>99</v>
      </c>
      <c r="AG136" s="115" t="s">
        <v>100</v>
      </c>
      <c r="AH136" s="44"/>
    </row>
    <row r="137" spans="1:34" s="108" customFormat="1" ht="15" customHeight="1" x14ac:dyDescent="0.25">
      <c r="A137" s="1269">
        <v>137</v>
      </c>
      <c r="B137" s="1917"/>
      <c r="C137" s="1918"/>
      <c r="D137" s="1918"/>
      <c r="E137" s="1918"/>
      <c r="F137" s="1918"/>
      <c r="G137" s="1918"/>
      <c r="H137" s="973">
        <f>F137*D137</f>
        <v>0</v>
      </c>
      <c r="I137" s="973">
        <f>G137*D137</f>
        <v>0</v>
      </c>
      <c r="J137" s="973">
        <f>(D137-C137)*E137</f>
        <v>0</v>
      </c>
      <c r="K137" s="974">
        <f>D137*(F137-E137)</f>
        <v>0</v>
      </c>
      <c r="L137" s="975"/>
      <c r="M137" s="1917"/>
      <c r="N137" s="1918"/>
      <c r="O137" s="1918"/>
      <c r="P137" s="1918"/>
      <c r="Q137" s="1918"/>
      <c r="R137" s="1918"/>
      <c r="S137" s="973">
        <f>Q137*O137</f>
        <v>0</v>
      </c>
      <c r="T137" s="973">
        <f>R137*O137</f>
        <v>0</v>
      </c>
      <c r="U137" s="973">
        <f>(O137-N137)*P137</f>
        <v>0</v>
      </c>
      <c r="V137" s="974">
        <f>O137*(Q137-P137)</f>
        <v>0</v>
      </c>
      <c r="W137" s="44"/>
      <c r="X137" s="175"/>
      <c r="Y137" s="176"/>
      <c r="Z137" s="176"/>
      <c r="AA137" s="176"/>
      <c r="AB137" s="176"/>
      <c r="AC137" s="176"/>
      <c r="AD137" s="177">
        <f>AB137*Z137</f>
        <v>0</v>
      </c>
      <c r="AE137" s="177">
        <f>AC137*Z137</f>
        <v>0</v>
      </c>
      <c r="AF137" s="177">
        <f>(Z137-Y137)*AA137</f>
        <v>0</v>
      </c>
      <c r="AG137" s="178">
        <f>Z137*(AB137-AA137)</f>
        <v>0</v>
      </c>
      <c r="AH137" s="44"/>
    </row>
    <row r="138" spans="1:34" s="108" customFormat="1" ht="15" customHeight="1" x14ac:dyDescent="0.25">
      <c r="A138" s="1269">
        <v>138</v>
      </c>
      <c r="B138" s="1917"/>
      <c r="C138" s="1918"/>
      <c r="D138" s="1918"/>
      <c r="E138" s="1918"/>
      <c r="F138" s="1918"/>
      <c r="G138" s="1918"/>
      <c r="H138" s="973">
        <f t="shared" ref="H138:H144" si="79">F138*D138</f>
        <v>0</v>
      </c>
      <c r="I138" s="973">
        <f t="shared" ref="I138:I144" si="80">G138*D138</f>
        <v>0</v>
      </c>
      <c r="J138" s="973">
        <f t="shared" ref="J138:J144" si="81">(D138-C138)*E138</f>
        <v>0</v>
      </c>
      <c r="K138" s="974">
        <f t="shared" ref="K138:K144" si="82">D138*(F138-E138)</f>
        <v>0</v>
      </c>
      <c r="L138" s="975"/>
      <c r="M138" s="1917"/>
      <c r="N138" s="1918"/>
      <c r="O138" s="1918"/>
      <c r="P138" s="1918"/>
      <c r="Q138" s="1918"/>
      <c r="R138" s="1918"/>
      <c r="S138" s="973">
        <f t="shared" ref="S138:S144" si="83">Q138*O138</f>
        <v>0</v>
      </c>
      <c r="T138" s="973">
        <f t="shared" ref="T138:T144" si="84">R138*O138</f>
        <v>0</v>
      </c>
      <c r="U138" s="973">
        <f t="shared" ref="U138:U144" si="85">(O138-N138)*P138</f>
        <v>0</v>
      </c>
      <c r="V138" s="974">
        <f t="shared" ref="V138:V144" si="86">O138*(Q138-P138)</f>
        <v>0</v>
      </c>
      <c r="W138" s="44"/>
      <c r="X138" s="175"/>
      <c r="Y138" s="176"/>
      <c r="Z138" s="176"/>
      <c r="AA138" s="176"/>
      <c r="AB138" s="176"/>
      <c r="AC138" s="176"/>
      <c r="AD138" s="177">
        <f t="shared" ref="AD138:AD144" si="87">AB138*Z138</f>
        <v>0</v>
      </c>
      <c r="AE138" s="177">
        <f t="shared" ref="AE138:AE144" si="88">AC138*Z138</f>
        <v>0</v>
      </c>
      <c r="AF138" s="177">
        <f t="shared" ref="AF138:AF144" si="89">(Z138-Y138)*AA138</f>
        <v>0</v>
      </c>
      <c r="AG138" s="178">
        <f t="shared" ref="AG138:AG144" si="90">Z138*(AB138-AA138)</f>
        <v>0</v>
      </c>
      <c r="AH138" s="44"/>
    </row>
    <row r="139" spans="1:34" s="108" customFormat="1" ht="15" customHeight="1" x14ac:dyDescent="0.25">
      <c r="A139" s="1269">
        <v>139</v>
      </c>
      <c r="B139" s="1917"/>
      <c r="C139" s="1918"/>
      <c r="D139" s="1918"/>
      <c r="E139" s="1918"/>
      <c r="F139" s="1918"/>
      <c r="G139" s="1918"/>
      <c r="H139" s="973">
        <f t="shared" si="79"/>
        <v>0</v>
      </c>
      <c r="I139" s="973">
        <f t="shared" si="80"/>
        <v>0</v>
      </c>
      <c r="J139" s="973">
        <f t="shared" si="81"/>
        <v>0</v>
      </c>
      <c r="K139" s="974">
        <f t="shared" si="82"/>
        <v>0</v>
      </c>
      <c r="L139" s="975"/>
      <c r="M139" s="1917"/>
      <c r="N139" s="1918"/>
      <c r="O139" s="1918"/>
      <c r="P139" s="1918"/>
      <c r="Q139" s="1918"/>
      <c r="R139" s="1918"/>
      <c r="S139" s="973">
        <f t="shared" si="83"/>
        <v>0</v>
      </c>
      <c r="T139" s="973">
        <f t="shared" si="84"/>
        <v>0</v>
      </c>
      <c r="U139" s="973">
        <f t="shared" si="85"/>
        <v>0</v>
      </c>
      <c r="V139" s="974">
        <f t="shared" si="86"/>
        <v>0</v>
      </c>
      <c r="W139" s="44"/>
      <c r="X139" s="175"/>
      <c r="Y139" s="176"/>
      <c r="Z139" s="176"/>
      <c r="AA139" s="176"/>
      <c r="AB139" s="176"/>
      <c r="AC139" s="176"/>
      <c r="AD139" s="177">
        <f t="shared" si="87"/>
        <v>0</v>
      </c>
      <c r="AE139" s="177">
        <f t="shared" si="88"/>
        <v>0</v>
      </c>
      <c r="AF139" s="177">
        <f t="shared" si="89"/>
        <v>0</v>
      </c>
      <c r="AG139" s="178">
        <f t="shared" si="90"/>
        <v>0</v>
      </c>
      <c r="AH139" s="44"/>
    </row>
    <row r="140" spans="1:34" s="108" customFormat="1" ht="15" customHeight="1" x14ac:dyDescent="0.25">
      <c r="A140" s="1269">
        <v>140</v>
      </c>
      <c r="B140" s="1917"/>
      <c r="C140" s="1918"/>
      <c r="D140" s="1918"/>
      <c r="E140" s="1918"/>
      <c r="F140" s="1918"/>
      <c r="G140" s="1918"/>
      <c r="H140" s="973">
        <f t="shared" si="79"/>
        <v>0</v>
      </c>
      <c r="I140" s="973">
        <f t="shared" si="80"/>
        <v>0</v>
      </c>
      <c r="J140" s="973">
        <f t="shared" si="81"/>
        <v>0</v>
      </c>
      <c r="K140" s="974">
        <f t="shared" si="82"/>
        <v>0</v>
      </c>
      <c r="L140" s="975"/>
      <c r="M140" s="1917"/>
      <c r="N140" s="1918"/>
      <c r="O140" s="1918"/>
      <c r="P140" s="1918"/>
      <c r="Q140" s="1918"/>
      <c r="R140" s="1918"/>
      <c r="S140" s="973">
        <f t="shared" si="83"/>
        <v>0</v>
      </c>
      <c r="T140" s="973">
        <f t="shared" si="84"/>
        <v>0</v>
      </c>
      <c r="U140" s="973">
        <f t="shared" si="85"/>
        <v>0</v>
      </c>
      <c r="V140" s="974">
        <f t="shared" si="86"/>
        <v>0</v>
      </c>
      <c r="W140" s="44"/>
      <c r="X140" s="175"/>
      <c r="Y140" s="176"/>
      <c r="Z140" s="176"/>
      <c r="AA140" s="176"/>
      <c r="AB140" s="176"/>
      <c r="AC140" s="176"/>
      <c r="AD140" s="177">
        <f t="shared" si="87"/>
        <v>0</v>
      </c>
      <c r="AE140" s="177">
        <f t="shared" si="88"/>
        <v>0</v>
      </c>
      <c r="AF140" s="177">
        <f t="shared" si="89"/>
        <v>0</v>
      </c>
      <c r="AG140" s="178">
        <f t="shared" si="90"/>
        <v>0</v>
      </c>
      <c r="AH140" s="44"/>
    </row>
    <row r="141" spans="1:34" s="108" customFormat="1" ht="15" customHeight="1" x14ac:dyDescent="0.25">
      <c r="A141" s="1269">
        <v>141</v>
      </c>
      <c r="B141" s="1917"/>
      <c r="C141" s="1918"/>
      <c r="D141" s="1918"/>
      <c r="E141" s="1918"/>
      <c r="F141" s="1918"/>
      <c r="G141" s="1918"/>
      <c r="H141" s="973">
        <f t="shared" si="79"/>
        <v>0</v>
      </c>
      <c r="I141" s="973">
        <f t="shared" si="80"/>
        <v>0</v>
      </c>
      <c r="J141" s="973">
        <f t="shared" si="81"/>
        <v>0</v>
      </c>
      <c r="K141" s="974">
        <f t="shared" si="82"/>
        <v>0</v>
      </c>
      <c r="L141" s="975"/>
      <c r="M141" s="1917"/>
      <c r="N141" s="1918"/>
      <c r="O141" s="1918"/>
      <c r="P141" s="1918"/>
      <c r="Q141" s="1918"/>
      <c r="R141" s="1918"/>
      <c r="S141" s="973">
        <f t="shared" si="83"/>
        <v>0</v>
      </c>
      <c r="T141" s="973">
        <f t="shared" si="84"/>
        <v>0</v>
      </c>
      <c r="U141" s="973">
        <f t="shared" si="85"/>
        <v>0</v>
      </c>
      <c r="V141" s="974">
        <f t="shared" si="86"/>
        <v>0</v>
      </c>
      <c r="W141" s="44"/>
      <c r="X141" s="175"/>
      <c r="Y141" s="176"/>
      <c r="Z141" s="176"/>
      <c r="AA141" s="176"/>
      <c r="AB141" s="176"/>
      <c r="AC141" s="176"/>
      <c r="AD141" s="177">
        <f t="shared" si="87"/>
        <v>0</v>
      </c>
      <c r="AE141" s="177">
        <f t="shared" si="88"/>
        <v>0</v>
      </c>
      <c r="AF141" s="177">
        <f t="shared" si="89"/>
        <v>0</v>
      </c>
      <c r="AG141" s="178">
        <f t="shared" si="90"/>
        <v>0</v>
      </c>
      <c r="AH141" s="44"/>
    </row>
    <row r="142" spans="1:34" s="108" customFormat="1" ht="15" customHeight="1" x14ac:dyDescent="0.25">
      <c r="A142" s="1269">
        <v>142</v>
      </c>
      <c r="B142" s="1917"/>
      <c r="C142" s="1918"/>
      <c r="D142" s="1918"/>
      <c r="E142" s="1918"/>
      <c r="F142" s="1918"/>
      <c r="G142" s="1918"/>
      <c r="H142" s="973">
        <f t="shared" si="79"/>
        <v>0</v>
      </c>
      <c r="I142" s="973">
        <f t="shared" si="80"/>
        <v>0</v>
      </c>
      <c r="J142" s="973">
        <f t="shared" si="81"/>
        <v>0</v>
      </c>
      <c r="K142" s="974">
        <f t="shared" si="82"/>
        <v>0</v>
      </c>
      <c r="L142" s="975"/>
      <c r="M142" s="1917"/>
      <c r="N142" s="1918"/>
      <c r="O142" s="1918"/>
      <c r="P142" s="1918"/>
      <c r="Q142" s="1918"/>
      <c r="R142" s="1918"/>
      <c r="S142" s="973">
        <f t="shared" si="83"/>
        <v>0</v>
      </c>
      <c r="T142" s="973">
        <f t="shared" si="84"/>
        <v>0</v>
      </c>
      <c r="U142" s="973">
        <f t="shared" si="85"/>
        <v>0</v>
      </c>
      <c r="V142" s="974">
        <f t="shared" si="86"/>
        <v>0</v>
      </c>
      <c r="W142" s="44"/>
      <c r="X142" s="175"/>
      <c r="Y142" s="176"/>
      <c r="Z142" s="176"/>
      <c r="AA142" s="176"/>
      <c r="AB142" s="176"/>
      <c r="AC142" s="176"/>
      <c r="AD142" s="177">
        <f t="shared" si="87"/>
        <v>0</v>
      </c>
      <c r="AE142" s="177">
        <f t="shared" si="88"/>
        <v>0</v>
      </c>
      <c r="AF142" s="177">
        <f t="shared" si="89"/>
        <v>0</v>
      </c>
      <c r="AG142" s="178">
        <f t="shared" si="90"/>
        <v>0</v>
      </c>
      <c r="AH142" s="44"/>
    </row>
    <row r="143" spans="1:34" s="108" customFormat="1" ht="15" customHeight="1" x14ac:dyDescent="0.25">
      <c r="A143" s="1269">
        <v>143</v>
      </c>
      <c r="B143" s="1917"/>
      <c r="C143" s="1918"/>
      <c r="D143" s="1918"/>
      <c r="E143" s="1918"/>
      <c r="F143" s="1918"/>
      <c r="G143" s="1918"/>
      <c r="H143" s="973">
        <f t="shared" si="79"/>
        <v>0</v>
      </c>
      <c r="I143" s="973">
        <f t="shared" si="80"/>
        <v>0</v>
      </c>
      <c r="J143" s="973">
        <f t="shared" si="81"/>
        <v>0</v>
      </c>
      <c r="K143" s="974">
        <f t="shared" si="82"/>
        <v>0</v>
      </c>
      <c r="L143" s="975"/>
      <c r="M143" s="1917"/>
      <c r="N143" s="1918"/>
      <c r="O143" s="1918"/>
      <c r="P143" s="1918"/>
      <c r="Q143" s="1918"/>
      <c r="R143" s="1918"/>
      <c r="S143" s="973">
        <f t="shared" si="83"/>
        <v>0</v>
      </c>
      <c r="T143" s="973">
        <f t="shared" si="84"/>
        <v>0</v>
      </c>
      <c r="U143" s="973">
        <f t="shared" si="85"/>
        <v>0</v>
      </c>
      <c r="V143" s="974">
        <f t="shared" si="86"/>
        <v>0</v>
      </c>
      <c r="W143" s="44"/>
      <c r="X143" s="175"/>
      <c r="Y143" s="176"/>
      <c r="Z143" s="176"/>
      <c r="AA143" s="176"/>
      <c r="AB143" s="176"/>
      <c r="AC143" s="176"/>
      <c r="AD143" s="177">
        <f t="shared" si="87"/>
        <v>0</v>
      </c>
      <c r="AE143" s="177">
        <f t="shared" si="88"/>
        <v>0</v>
      </c>
      <c r="AF143" s="177">
        <f t="shared" si="89"/>
        <v>0</v>
      </c>
      <c r="AG143" s="178">
        <f t="shared" si="90"/>
        <v>0</v>
      </c>
      <c r="AH143" s="44"/>
    </row>
    <row r="144" spans="1:34" s="108" customFormat="1" ht="15" customHeight="1" x14ac:dyDescent="0.25">
      <c r="A144" s="1269">
        <v>144</v>
      </c>
      <c r="B144" s="1919"/>
      <c r="C144" s="1920"/>
      <c r="D144" s="1920"/>
      <c r="E144" s="1920"/>
      <c r="F144" s="1920"/>
      <c r="G144" s="1920"/>
      <c r="H144" s="973">
        <f t="shared" si="79"/>
        <v>0</v>
      </c>
      <c r="I144" s="973">
        <f t="shared" si="80"/>
        <v>0</v>
      </c>
      <c r="J144" s="973">
        <f t="shared" si="81"/>
        <v>0</v>
      </c>
      <c r="K144" s="974">
        <f t="shared" si="82"/>
        <v>0</v>
      </c>
      <c r="L144" s="975"/>
      <c r="M144" s="1919"/>
      <c r="N144" s="1920"/>
      <c r="O144" s="1920"/>
      <c r="P144" s="1920"/>
      <c r="Q144" s="1920"/>
      <c r="R144" s="1920"/>
      <c r="S144" s="973">
        <f t="shared" si="83"/>
        <v>0</v>
      </c>
      <c r="T144" s="973">
        <f t="shared" si="84"/>
        <v>0</v>
      </c>
      <c r="U144" s="973">
        <f t="shared" si="85"/>
        <v>0</v>
      </c>
      <c r="V144" s="974">
        <f t="shared" si="86"/>
        <v>0</v>
      </c>
      <c r="W144" s="44"/>
      <c r="X144" s="179"/>
      <c r="Y144" s="180"/>
      <c r="Z144" s="180"/>
      <c r="AA144" s="180"/>
      <c r="AB144" s="180"/>
      <c r="AC144" s="180"/>
      <c r="AD144" s="177">
        <f t="shared" si="87"/>
        <v>0</v>
      </c>
      <c r="AE144" s="177">
        <f t="shared" si="88"/>
        <v>0</v>
      </c>
      <c r="AF144" s="177">
        <f t="shared" si="89"/>
        <v>0</v>
      </c>
      <c r="AG144" s="178">
        <f t="shared" si="90"/>
        <v>0</v>
      </c>
      <c r="AH144" s="44"/>
    </row>
    <row r="145" spans="1:34" s="108" customFormat="1" ht="19.5" thickBot="1" x14ac:dyDescent="0.3">
      <c r="A145" s="1269">
        <v>145</v>
      </c>
      <c r="B145" s="1608" t="s">
        <v>1055</v>
      </c>
      <c r="C145" s="1609"/>
      <c r="D145" s="1609"/>
      <c r="E145" s="1609"/>
      <c r="F145" s="1609"/>
      <c r="G145" s="1610"/>
      <c r="H145" s="1240">
        <f>SUM(H137:H144)</f>
        <v>0</v>
      </c>
      <c r="I145" s="1240">
        <f t="shared" ref="I145:K145" si="91">SUM(I137:I144)</f>
        <v>0</v>
      </c>
      <c r="J145" s="1255">
        <f t="shared" si="91"/>
        <v>0</v>
      </c>
      <c r="K145" s="1255">
        <f t="shared" si="91"/>
        <v>0</v>
      </c>
      <c r="L145" s="975"/>
      <c r="M145" s="1608" t="s">
        <v>1055</v>
      </c>
      <c r="N145" s="1609"/>
      <c r="O145" s="1609"/>
      <c r="P145" s="1609"/>
      <c r="Q145" s="1609"/>
      <c r="R145" s="1610"/>
      <c r="S145" s="1240">
        <f>SUM(S137:S144)</f>
        <v>0</v>
      </c>
      <c r="T145" s="1240">
        <f t="shared" ref="T145:V145" si="92">SUM(T137:T144)</f>
        <v>0</v>
      </c>
      <c r="U145" s="1255">
        <f t="shared" si="92"/>
        <v>0</v>
      </c>
      <c r="V145" s="1255">
        <f t="shared" si="92"/>
        <v>0</v>
      </c>
      <c r="W145" s="44"/>
      <c r="X145" s="1566" t="s">
        <v>1055</v>
      </c>
      <c r="Y145" s="1567"/>
      <c r="Z145" s="1567"/>
      <c r="AA145" s="1567"/>
      <c r="AB145" s="1567"/>
      <c r="AC145" s="1568"/>
      <c r="AD145" s="1252">
        <f>SUM(AD137:AD144)</f>
        <v>0</v>
      </c>
      <c r="AE145" s="1252">
        <f t="shared" ref="AE145:AG145" si="93">SUM(AE137:AE144)</f>
        <v>0</v>
      </c>
      <c r="AF145" s="1256">
        <f t="shared" si="93"/>
        <v>0</v>
      </c>
      <c r="AG145" s="1256">
        <f t="shared" si="93"/>
        <v>0</v>
      </c>
      <c r="AH145" s="44"/>
    </row>
    <row r="146" spans="1:34" s="139" customFormat="1" ht="30" customHeight="1" x14ac:dyDescent="0.3">
      <c r="A146" s="1269">
        <v>146</v>
      </c>
      <c r="B146" s="116"/>
      <c r="C146" s="116"/>
      <c r="D146" s="116"/>
      <c r="E146" s="116"/>
      <c r="F146" s="116"/>
      <c r="G146" s="228"/>
      <c r="H146" s="229"/>
      <c r="I146" s="229"/>
      <c r="J146" s="1463" t="s">
        <v>1076</v>
      </c>
      <c r="K146" s="1463"/>
      <c r="L146" s="45"/>
      <c r="M146" s="116"/>
      <c r="N146" s="116"/>
      <c r="O146" s="116"/>
      <c r="P146" s="116"/>
      <c r="Q146" s="116"/>
      <c r="R146" s="228"/>
      <c r="S146" s="229"/>
      <c r="T146" s="229"/>
      <c r="U146" s="1463" t="s">
        <v>1076</v>
      </c>
      <c r="V146" s="1463"/>
      <c r="W146" s="44"/>
      <c r="X146" s="116"/>
      <c r="Y146" s="116"/>
      <c r="Z146" s="116"/>
      <c r="AA146" s="116"/>
      <c r="AB146" s="116"/>
      <c r="AC146" s="228"/>
      <c r="AD146" s="229"/>
      <c r="AE146" s="229"/>
      <c r="AF146" s="112"/>
      <c r="AG146" s="112"/>
      <c r="AH146" s="44"/>
    </row>
    <row r="147" spans="1:34" s="108" customFormat="1" ht="19.5" thickBot="1" x14ac:dyDescent="0.35">
      <c r="A147" s="1269">
        <v>147</v>
      </c>
      <c r="B147" s="116"/>
      <c r="C147" s="116"/>
      <c r="D147" s="116"/>
      <c r="E147" s="116"/>
      <c r="F147" s="116"/>
      <c r="G147" s="116"/>
      <c r="H147" s="112"/>
      <c r="I147" s="112"/>
      <c r="J147" s="608"/>
      <c r="K147" s="112"/>
      <c r="L147" s="45"/>
      <c r="M147" s="116"/>
      <c r="N147" s="116"/>
      <c r="O147" s="116"/>
      <c r="P147" s="116"/>
      <c r="Q147" s="116"/>
      <c r="R147" s="116"/>
      <c r="S147" s="112"/>
      <c r="T147" s="112"/>
      <c r="U147" s="112"/>
      <c r="V147" s="112"/>
      <c r="W147" s="44"/>
      <c r="X147" s="116"/>
      <c r="Y147" s="116"/>
      <c r="Z147" s="116"/>
      <c r="AA147" s="116"/>
      <c r="AB147" s="116"/>
      <c r="AC147" s="116"/>
      <c r="AD147" s="112"/>
      <c r="AE147" s="112"/>
      <c r="AF147" s="112"/>
      <c r="AG147" s="112"/>
      <c r="AH147" s="44"/>
    </row>
    <row r="148" spans="1:34" s="108" customFormat="1" ht="18.75" x14ac:dyDescent="0.3">
      <c r="A148" s="1269">
        <v>148</v>
      </c>
      <c r="B148" s="1510" t="s">
        <v>512</v>
      </c>
      <c r="C148" s="1511"/>
      <c r="D148" s="1511"/>
      <c r="E148" s="1511"/>
      <c r="F148" s="1511"/>
      <c r="G148" s="1511"/>
      <c r="H148" s="1512"/>
      <c r="I148" s="117"/>
      <c r="J148" s="608"/>
      <c r="K148" s="111"/>
      <c r="L148" s="45"/>
      <c r="M148" s="1510" t="s">
        <v>512</v>
      </c>
      <c r="N148" s="1511"/>
      <c r="O148" s="1511"/>
      <c r="P148" s="1511"/>
      <c r="Q148" s="1511"/>
      <c r="R148" s="1511"/>
      <c r="S148" s="1512"/>
      <c r="T148" s="117"/>
      <c r="U148" s="111"/>
      <c r="V148" s="111"/>
      <c r="W148" s="44"/>
      <c r="X148" s="1510" t="s">
        <v>512</v>
      </c>
      <c r="Y148" s="1511"/>
      <c r="Z148" s="1511"/>
      <c r="AA148" s="1511"/>
      <c r="AB148" s="1511"/>
      <c r="AC148" s="1511"/>
      <c r="AD148" s="1512"/>
      <c r="AE148" s="117"/>
      <c r="AF148" s="111"/>
      <c r="AG148" s="111"/>
      <c r="AH148" s="44"/>
    </row>
    <row r="149" spans="1:34" ht="60" x14ac:dyDescent="0.25">
      <c r="A149" s="1269">
        <v>149</v>
      </c>
      <c r="B149" s="153" t="s">
        <v>24</v>
      </c>
      <c r="C149" s="19" t="s">
        <v>98</v>
      </c>
      <c r="D149" s="19" t="s">
        <v>104</v>
      </c>
      <c r="E149" s="19" t="s">
        <v>103</v>
      </c>
      <c r="F149" s="19" t="s">
        <v>122</v>
      </c>
      <c r="G149" s="19" t="s">
        <v>102</v>
      </c>
      <c r="H149" s="37" t="s">
        <v>640</v>
      </c>
      <c r="I149" s="118"/>
      <c r="J149" s="608"/>
      <c r="K149" s="72"/>
      <c r="L149" s="47"/>
      <c r="M149" s="153" t="s">
        <v>24</v>
      </c>
      <c r="N149" s="172" t="s">
        <v>98</v>
      </c>
      <c r="O149" s="172" t="s">
        <v>104</v>
      </c>
      <c r="P149" s="172" t="s">
        <v>103</v>
      </c>
      <c r="Q149" s="172" t="s">
        <v>122</v>
      </c>
      <c r="R149" s="172" t="s">
        <v>102</v>
      </c>
      <c r="S149" s="37" t="s">
        <v>120</v>
      </c>
      <c r="T149" s="118"/>
      <c r="U149" s="72"/>
      <c r="V149" s="72"/>
      <c r="X149" s="153" t="s">
        <v>24</v>
      </c>
      <c r="Y149" s="191" t="s">
        <v>98</v>
      </c>
      <c r="Z149" s="191" t="s">
        <v>104</v>
      </c>
      <c r="AA149" s="191" t="s">
        <v>103</v>
      </c>
      <c r="AB149" s="191" t="s">
        <v>122</v>
      </c>
      <c r="AC149" s="191" t="s">
        <v>102</v>
      </c>
      <c r="AD149" s="37" t="s">
        <v>120</v>
      </c>
      <c r="AE149" s="118"/>
      <c r="AF149" s="72"/>
      <c r="AG149" s="72"/>
    </row>
    <row r="150" spans="1:34" x14ac:dyDescent="0.25">
      <c r="A150" s="1269">
        <v>150</v>
      </c>
      <c r="B150" s="1894"/>
      <c r="C150" s="1897"/>
      <c r="D150" s="1897"/>
      <c r="E150" s="1897"/>
      <c r="F150" s="7">
        <f>(C150*D150)-E150</f>
        <v>0</v>
      </c>
      <c r="G150" s="1897"/>
      <c r="H150" s="154">
        <f>C150*G150</f>
        <v>0</v>
      </c>
      <c r="I150" s="119"/>
      <c r="J150" s="608"/>
      <c r="K150" s="4"/>
      <c r="L150" s="48"/>
      <c r="M150" s="1894"/>
      <c r="N150" s="1897"/>
      <c r="O150" s="1897"/>
      <c r="P150" s="1897"/>
      <c r="Q150" s="7">
        <f>(N150*O150)-P150</f>
        <v>0</v>
      </c>
      <c r="R150" s="1897"/>
      <c r="S150" s="154">
        <f>N150*R150</f>
        <v>0</v>
      </c>
      <c r="T150" s="119"/>
      <c r="U150" s="4"/>
      <c r="V150" s="4"/>
      <c r="X150" s="189"/>
      <c r="Y150" s="123"/>
      <c r="Z150" s="123"/>
      <c r="AA150" s="123"/>
      <c r="AB150" s="7">
        <f>(Y150*Z150)-AA150</f>
        <v>0</v>
      </c>
      <c r="AC150" s="123"/>
      <c r="AD150" s="154">
        <f>Y150*AC150</f>
        <v>0</v>
      </c>
      <c r="AE150" s="119"/>
      <c r="AF150" s="4"/>
      <c r="AG150" s="4"/>
    </row>
    <row r="151" spans="1:34" x14ac:dyDescent="0.25">
      <c r="A151" s="1269">
        <v>151</v>
      </c>
      <c r="B151" s="1894"/>
      <c r="C151" s="1897"/>
      <c r="D151" s="1897"/>
      <c r="E151" s="1897"/>
      <c r="F151" s="7">
        <f t="shared" ref="F151:F158" si="94">(C151*D151)-E151</f>
        <v>0</v>
      </c>
      <c r="G151" s="1897"/>
      <c r="H151" s="154">
        <f t="shared" ref="H151:H158" si="95">C151*G151</f>
        <v>0</v>
      </c>
      <c r="I151" s="119"/>
      <c r="J151" s="608"/>
      <c r="K151" s="4"/>
      <c r="L151" s="48"/>
      <c r="M151" s="1894"/>
      <c r="N151" s="1897"/>
      <c r="O151" s="1897"/>
      <c r="P151" s="1897"/>
      <c r="Q151" s="7">
        <f t="shared" ref="Q151:Q158" si="96">(N151*O151)-P151</f>
        <v>0</v>
      </c>
      <c r="R151" s="1897"/>
      <c r="S151" s="154">
        <f t="shared" ref="S151:S158" si="97">N151*R151</f>
        <v>0</v>
      </c>
      <c r="T151" s="119"/>
      <c r="U151" s="4"/>
      <c r="V151" s="4"/>
      <c r="X151" s="189"/>
      <c r="Y151" s="123"/>
      <c r="Z151" s="123"/>
      <c r="AA151" s="123"/>
      <c r="AB151" s="7">
        <f t="shared" ref="AB151:AB158" si="98">(Y151*Z151)-AA151</f>
        <v>0</v>
      </c>
      <c r="AC151" s="123"/>
      <c r="AD151" s="154">
        <f t="shared" ref="AD151:AD158" si="99">Y151*AC151</f>
        <v>0</v>
      </c>
      <c r="AE151" s="119"/>
      <c r="AF151" s="4"/>
      <c r="AG151" s="4"/>
    </row>
    <row r="152" spans="1:34" x14ac:dyDescent="0.25">
      <c r="A152" s="1269">
        <v>152</v>
      </c>
      <c r="B152" s="1894"/>
      <c r="C152" s="1897"/>
      <c r="D152" s="1897"/>
      <c r="E152" s="1897"/>
      <c r="F152" s="7">
        <f t="shared" si="94"/>
        <v>0</v>
      </c>
      <c r="G152" s="1897"/>
      <c r="H152" s="154">
        <f t="shared" si="95"/>
        <v>0</v>
      </c>
      <c r="I152" s="119"/>
      <c r="J152" s="608"/>
      <c r="K152" s="4"/>
      <c r="L152" s="48"/>
      <c r="M152" s="1894"/>
      <c r="N152" s="1897"/>
      <c r="O152" s="1897"/>
      <c r="P152" s="1897"/>
      <c r="Q152" s="7">
        <f t="shared" si="96"/>
        <v>0</v>
      </c>
      <c r="R152" s="1897"/>
      <c r="S152" s="154">
        <f t="shared" si="97"/>
        <v>0</v>
      </c>
      <c r="T152" s="119"/>
      <c r="U152" s="4"/>
      <c r="V152" s="4"/>
      <c r="X152" s="189"/>
      <c r="Y152" s="123"/>
      <c r="Z152" s="123"/>
      <c r="AA152" s="123"/>
      <c r="AB152" s="7">
        <f t="shared" si="98"/>
        <v>0</v>
      </c>
      <c r="AC152" s="123"/>
      <c r="AD152" s="154">
        <f t="shared" si="99"/>
        <v>0</v>
      </c>
      <c r="AE152" s="119"/>
      <c r="AF152" s="4"/>
      <c r="AG152" s="4"/>
    </row>
    <row r="153" spans="1:34" x14ac:dyDescent="0.25">
      <c r="A153" s="1269">
        <v>153</v>
      </c>
      <c r="B153" s="1894"/>
      <c r="C153" s="1897"/>
      <c r="D153" s="1897"/>
      <c r="E153" s="1897"/>
      <c r="F153" s="7">
        <f t="shared" si="94"/>
        <v>0</v>
      </c>
      <c r="G153" s="1897"/>
      <c r="H153" s="154">
        <f t="shared" si="95"/>
        <v>0</v>
      </c>
      <c r="I153" s="119"/>
      <c r="J153" s="4"/>
      <c r="K153" s="4"/>
      <c r="L153" s="48"/>
      <c r="M153" s="1894"/>
      <c r="N153" s="1897"/>
      <c r="O153" s="1897"/>
      <c r="P153" s="1897"/>
      <c r="Q153" s="7">
        <f t="shared" si="96"/>
        <v>0</v>
      </c>
      <c r="R153" s="1897"/>
      <c r="S153" s="154">
        <f t="shared" si="97"/>
        <v>0</v>
      </c>
      <c r="T153" s="119"/>
      <c r="U153" s="4"/>
      <c r="V153" s="4"/>
      <c r="X153" s="189"/>
      <c r="Y153" s="123"/>
      <c r="Z153" s="123"/>
      <c r="AA153" s="123"/>
      <c r="AB153" s="7">
        <f t="shared" si="98"/>
        <v>0</v>
      </c>
      <c r="AC153" s="123"/>
      <c r="AD153" s="154">
        <f t="shared" si="99"/>
        <v>0</v>
      </c>
      <c r="AE153" s="119"/>
      <c r="AF153" s="4"/>
      <c r="AG153" s="4"/>
    </row>
    <row r="154" spans="1:34" x14ac:dyDescent="0.25">
      <c r="A154" s="1269">
        <v>154</v>
      </c>
      <c r="B154" s="1894"/>
      <c r="C154" s="1897"/>
      <c r="D154" s="1897"/>
      <c r="E154" s="1897"/>
      <c r="F154" s="7">
        <f t="shared" si="94"/>
        <v>0</v>
      </c>
      <c r="G154" s="1897"/>
      <c r="H154" s="154">
        <f t="shared" si="95"/>
        <v>0</v>
      </c>
      <c r="I154" s="119"/>
      <c r="J154" s="4"/>
      <c r="K154" s="4"/>
      <c r="L154" s="48"/>
      <c r="M154" s="1894"/>
      <c r="N154" s="1897"/>
      <c r="O154" s="1897"/>
      <c r="P154" s="1897"/>
      <c r="Q154" s="7">
        <f t="shared" si="96"/>
        <v>0</v>
      </c>
      <c r="R154" s="1897"/>
      <c r="S154" s="154">
        <f t="shared" si="97"/>
        <v>0</v>
      </c>
      <c r="T154" s="119"/>
      <c r="U154" s="4"/>
      <c r="V154" s="4"/>
      <c r="X154" s="189"/>
      <c r="Y154" s="123"/>
      <c r="Z154" s="123"/>
      <c r="AA154" s="123"/>
      <c r="AB154" s="7">
        <f t="shared" si="98"/>
        <v>0</v>
      </c>
      <c r="AC154" s="123"/>
      <c r="AD154" s="154">
        <f t="shared" si="99"/>
        <v>0</v>
      </c>
      <c r="AE154" s="119"/>
      <c r="AF154" s="4"/>
      <c r="AG154" s="4"/>
    </row>
    <row r="155" spans="1:34" x14ac:dyDescent="0.25">
      <c r="A155" s="1269">
        <v>155</v>
      </c>
      <c r="B155" s="1894"/>
      <c r="C155" s="1897"/>
      <c r="D155" s="1897"/>
      <c r="E155" s="1897"/>
      <c r="F155" s="7">
        <f t="shared" si="94"/>
        <v>0</v>
      </c>
      <c r="G155" s="1897"/>
      <c r="H155" s="154">
        <f t="shared" si="95"/>
        <v>0</v>
      </c>
      <c r="I155" s="119"/>
      <c r="J155" s="4"/>
      <c r="K155" s="4"/>
      <c r="L155" s="48"/>
      <c r="M155" s="1894"/>
      <c r="N155" s="1897"/>
      <c r="O155" s="1897"/>
      <c r="P155" s="1897"/>
      <c r="Q155" s="7">
        <f t="shared" si="96"/>
        <v>0</v>
      </c>
      <c r="R155" s="1897"/>
      <c r="S155" s="154">
        <f t="shared" si="97"/>
        <v>0</v>
      </c>
      <c r="T155" s="119"/>
      <c r="U155" s="4"/>
      <c r="V155" s="4"/>
      <c r="X155" s="189"/>
      <c r="Y155" s="123"/>
      <c r="Z155" s="123"/>
      <c r="AA155" s="123"/>
      <c r="AB155" s="7">
        <f t="shared" si="98"/>
        <v>0</v>
      </c>
      <c r="AC155" s="123"/>
      <c r="AD155" s="154">
        <f t="shared" si="99"/>
        <v>0</v>
      </c>
      <c r="AE155" s="119"/>
      <c r="AF155" s="4"/>
      <c r="AG155" s="4"/>
    </row>
    <row r="156" spans="1:34" x14ac:dyDescent="0.25">
      <c r="A156" s="1269">
        <v>156</v>
      </c>
      <c r="B156" s="1894"/>
      <c r="C156" s="1897"/>
      <c r="D156" s="1897"/>
      <c r="E156" s="1897"/>
      <c r="F156" s="7">
        <f t="shared" si="94"/>
        <v>0</v>
      </c>
      <c r="G156" s="1897"/>
      <c r="H156" s="154">
        <f t="shared" si="95"/>
        <v>0</v>
      </c>
      <c r="I156" s="119"/>
      <c r="J156" s="4"/>
      <c r="K156" s="4"/>
      <c r="L156" s="48"/>
      <c r="M156" s="1894"/>
      <c r="N156" s="1897"/>
      <c r="O156" s="1897"/>
      <c r="P156" s="1897"/>
      <c r="Q156" s="7">
        <f t="shared" si="96"/>
        <v>0</v>
      </c>
      <c r="R156" s="1897"/>
      <c r="S156" s="154">
        <f t="shared" si="97"/>
        <v>0</v>
      </c>
      <c r="T156" s="119"/>
      <c r="U156" s="4"/>
      <c r="V156" s="4"/>
      <c r="X156" s="189"/>
      <c r="Y156" s="123"/>
      <c r="Z156" s="123"/>
      <c r="AA156" s="123"/>
      <c r="AB156" s="7">
        <f t="shared" si="98"/>
        <v>0</v>
      </c>
      <c r="AC156" s="123"/>
      <c r="AD156" s="154">
        <f t="shared" si="99"/>
        <v>0</v>
      </c>
      <c r="AE156" s="119"/>
      <c r="AF156" s="4"/>
      <c r="AG156" s="4"/>
    </row>
    <row r="157" spans="1:34" x14ac:dyDescent="0.25">
      <c r="A157" s="1269">
        <v>157</v>
      </c>
      <c r="B157" s="1894"/>
      <c r="C157" s="1897"/>
      <c r="D157" s="1897"/>
      <c r="E157" s="1897"/>
      <c r="F157" s="7">
        <f t="shared" si="94"/>
        <v>0</v>
      </c>
      <c r="G157" s="1897"/>
      <c r="H157" s="154">
        <f t="shared" si="95"/>
        <v>0</v>
      </c>
      <c r="I157" s="119"/>
      <c r="J157" s="4"/>
      <c r="K157" s="4"/>
      <c r="L157" s="48"/>
      <c r="M157" s="1894"/>
      <c r="N157" s="1897"/>
      <c r="O157" s="1897"/>
      <c r="P157" s="1897"/>
      <c r="Q157" s="7">
        <f t="shared" si="96"/>
        <v>0</v>
      </c>
      <c r="R157" s="1897"/>
      <c r="S157" s="154">
        <f t="shared" si="97"/>
        <v>0</v>
      </c>
      <c r="T157" s="119"/>
      <c r="U157" s="4"/>
      <c r="V157" s="4"/>
      <c r="X157" s="189"/>
      <c r="Y157" s="123"/>
      <c r="Z157" s="123"/>
      <c r="AA157" s="123"/>
      <c r="AB157" s="7">
        <f t="shared" si="98"/>
        <v>0</v>
      </c>
      <c r="AC157" s="123"/>
      <c r="AD157" s="154">
        <f t="shared" si="99"/>
        <v>0</v>
      </c>
      <c r="AE157" s="119"/>
      <c r="AF157" s="4"/>
      <c r="AG157" s="4"/>
    </row>
    <row r="158" spans="1:34" x14ac:dyDescent="0.25">
      <c r="A158" s="1269">
        <v>158</v>
      </c>
      <c r="B158" s="1894"/>
      <c r="C158" s="1897"/>
      <c r="D158" s="1897"/>
      <c r="E158" s="1897"/>
      <c r="F158" s="7">
        <f t="shared" si="94"/>
        <v>0</v>
      </c>
      <c r="G158" s="1897"/>
      <c r="H158" s="154">
        <f t="shared" si="95"/>
        <v>0</v>
      </c>
      <c r="I158" s="119"/>
      <c r="J158" s="4"/>
      <c r="K158" s="4"/>
      <c r="L158" s="48"/>
      <c r="M158" s="1894"/>
      <c r="N158" s="1897"/>
      <c r="O158" s="1897"/>
      <c r="P158" s="1897"/>
      <c r="Q158" s="7">
        <f t="shared" si="96"/>
        <v>0</v>
      </c>
      <c r="R158" s="1897"/>
      <c r="S158" s="154">
        <f t="shared" si="97"/>
        <v>0</v>
      </c>
      <c r="T158" s="119"/>
      <c r="U158" s="4"/>
      <c r="V158" s="4"/>
      <c r="X158" s="189"/>
      <c r="Y158" s="123"/>
      <c r="Z158" s="123"/>
      <c r="AA158" s="123"/>
      <c r="AB158" s="7">
        <f t="shared" si="98"/>
        <v>0</v>
      </c>
      <c r="AC158" s="123"/>
      <c r="AD158" s="154">
        <f t="shared" si="99"/>
        <v>0</v>
      </c>
      <c r="AE158" s="119"/>
      <c r="AF158" s="4"/>
      <c r="AG158" s="4"/>
    </row>
    <row r="159" spans="1:34" ht="15.75" thickBot="1" x14ac:dyDescent="0.3">
      <c r="A159" s="1269">
        <v>159</v>
      </c>
      <c r="B159" s="1554" t="s">
        <v>1056</v>
      </c>
      <c r="C159" s="1555"/>
      <c r="D159" s="1555"/>
      <c r="E159" s="1555"/>
      <c r="F159" s="1241">
        <f>SUM(F150:F158)</f>
        <v>0</v>
      </c>
      <c r="G159" s="155"/>
      <c r="H159" s="1229">
        <f>SUM(H150:H158)</f>
        <v>0</v>
      </c>
      <c r="I159" s="120"/>
      <c r="J159" s="79"/>
      <c r="K159" s="79"/>
      <c r="L159" s="49"/>
      <c r="M159" s="1554" t="s">
        <v>1056</v>
      </c>
      <c r="N159" s="1555"/>
      <c r="O159" s="1555"/>
      <c r="P159" s="1555"/>
      <c r="Q159" s="1241">
        <f>SUM(Q150:Q158)</f>
        <v>0</v>
      </c>
      <c r="R159" s="155"/>
      <c r="S159" s="1229">
        <f>SUM(S150:S158)</f>
        <v>0</v>
      </c>
      <c r="T159" s="120"/>
      <c r="U159" s="79"/>
      <c r="V159" s="79"/>
      <c r="X159" s="1554" t="s">
        <v>1056</v>
      </c>
      <c r="Y159" s="1555"/>
      <c r="Z159" s="1555"/>
      <c r="AA159" s="1555"/>
      <c r="AB159" s="1241">
        <f>SUM(AB150:AB158)</f>
        <v>0</v>
      </c>
      <c r="AC159" s="155"/>
      <c r="AD159" s="1229">
        <f>SUM(AD150:AD158)</f>
        <v>0</v>
      </c>
      <c r="AE159" s="120"/>
      <c r="AF159" s="79"/>
      <c r="AG159" s="79"/>
    </row>
    <row r="160" spans="1:34" x14ac:dyDescent="0.25">
      <c r="A160" s="1269">
        <v>160</v>
      </c>
      <c r="B160" s="1028"/>
      <c r="C160" s="1029"/>
      <c r="D160" s="1029"/>
      <c r="E160" s="1029"/>
      <c r="F160" s="1030"/>
      <c r="G160" s="1029" t="s">
        <v>990</v>
      </c>
      <c r="H160" s="1027">
        <f>(S159+'Input Sheet'!C81-'Input Sheet'!C75)*(0.8)</f>
        <v>0</v>
      </c>
      <c r="M160" s="152"/>
      <c r="N160" s="152"/>
      <c r="O160" s="152"/>
      <c r="P160" s="11"/>
      <c r="Q160" s="152"/>
      <c r="R160" s="152"/>
      <c r="S160" s="152"/>
      <c r="T160" s="152"/>
      <c r="U160" s="152"/>
      <c r="V160" s="152"/>
      <c r="AA160" s="11"/>
    </row>
    <row r="161" spans="1:34" s="139" customFormat="1" ht="15.75" thickBot="1" x14ac:dyDescent="0.3">
      <c r="A161" s="1269">
        <v>161</v>
      </c>
      <c r="B161" s="62"/>
      <c r="C161" s="62"/>
      <c r="D161" s="62"/>
      <c r="E161" s="62"/>
      <c r="F161" s="62"/>
      <c r="G161" s="62"/>
      <c r="H161" s="62"/>
      <c r="I161" s="62"/>
      <c r="L161" s="44"/>
      <c r="M161" s="62"/>
      <c r="N161" s="62"/>
      <c r="O161" s="62"/>
      <c r="P161" s="62"/>
      <c r="Q161" s="62"/>
      <c r="R161" s="62"/>
      <c r="S161" s="62"/>
      <c r="T161" s="62"/>
      <c r="U161" s="152"/>
      <c r="V161" s="152"/>
      <c r="W161" s="44"/>
      <c r="X161" s="62"/>
      <c r="Y161" s="62"/>
      <c r="Z161" s="62"/>
      <c r="AA161" s="62"/>
      <c r="AB161" s="62"/>
      <c r="AC161" s="62"/>
      <c r="AD161" s="62"/>
      <c r="AE161" s="62"/>
      <c r="AF161" s="195"/>
      <c r="AG161" s="195"/>
      <c r="AH161" s="44"/>
    </row>
    <row r="162" spans="1:34" ht="25.5" customHeight="1" x14ac:dyDescent="0.3">
      <c r="A162" s="1269">
        <v>162</v>
      </c>
      <c r="B162" s="1556" t="s">
        <v>711</v>
      </c>
      <c r="C162" s="1557"/>
      <c r="D162" s="1557"/>
      <c r="E162" s="1557"/>
      <c r="F162" s="1557"/>
      <c r="G162" s="1558"/>
      <c r="H162" s="1023"/>
      <c r="I162" s="1025"/>
      <c r="J162" s="111"/>
      <c r="K162" s="111"/>
      <c r="M162" s="1556" t="s">
        <v>173</v>
      </c>
      <c r="N162" s="1557"/>
      <c r="O162" s="1557"/>
      <c r="P162" s="1557"/>
      <c r="Q162" s="1557"/>
      <c r="R162" s="1558"/>
      <c r="S162" s="111"/>
      <c r="T162" s="111"/>
      <c r="U162" s="111"/>
      <c r="V162" s="111"/>
      <c r="X162" s="1556" t="s">
        <v>173</v>
      </c>
      <c r="Y162" s="1557"/>
      <c r="Z162" s="1557"/>
      <c r="AA162" s="1557"/>
      <c r="AB162" s="1557"/>
      <c r="AC162" s="1558"/>
      <c r="AD162" s="111"/>
      <c r="AE162" s="111"/>
      <c r="AF162" s="111"/>
      <c r="AG162" s="111"/>
    </row>
    <row r="163" spans="1:34" ht="60" x14ac:dyDescent="0.25">
      <c r="A163" s="1269">
        <v>163</v>
      </c>
      <c r="B163" s="20" t="s">
        <v>974</v>
      </c>
      <c r="C163" s="19" t="s">
        <v>27</v>
      </c>
      <c r="D163" s="19" t="s">
        <v>25</v>
      </c>
      <c r="E163" s="19" t="s">
        <v>26</v>
      </c>
      <c r="F163" s="19" t="s">
        <v>22</v>
      </c>
      <c r="G163" s="37" t="s">
        <v>23</v>
      </c>
      <c r="H163" s="1024"/>
      <c r="I163" s="1022"/>
      <c r="J163" s="1022"/>
      <c r="K163" s="1022"/>
      <c r="M163" s="20" t="s">
        <v>974</v>
      </c>
      <c r="N163" s="172" t="s">
        <v>27</v>
      </c>
      <c r="O163" s="172" t="s">
        <v>25</v>
      </c>
      <c r="P163" s="172" t="s">
        <v>26</v>
      </c>
      <c r="Q163" s="172" t="s">
        <v>22</v>
      </c>
      <c r="R163" s="37" t="s">
        <v>23</v>
      </c>
      <c r="S163" s="152"/>
      <c r="T163" s="152"/>
      <c r="U163" s="152"/>
      <c r="V163" s="152"/>
      <c r="X163" s="20" t="s">
        <v>974</v>
      </c>
      <c r="Y163" s="191" t="s">
        <v>27</v>
      </c>
      <c r="Z163" s="191" t="s">
        <v>25</v>
      </c>
      <c r="AA163" s="191" t="s">
        <v>26</v>
      </c>
      <c r="AB163" s="191" t="s">
        <v>22</v>
      </c>
      <c r="AC163" s="37" t="s">
        <v>23</v>
      </c>
    </row>
    <row r="164" spans="1:34" s="142" customFormat="1" x14ac:dyDescent="0.25">
      <c r="A164" s="1269">
        <v>164</v>
      </c>
      <c r="B164" s="1894"/>
      <c r="C164" s="1895"/>
      <c r="D164" s="1897"/>
      <c r="E164" s="1897"/>
      <c r="F164" s="186">
        <f>D164-E164</f>
        <v>0</v>
      </c>
      <c r="G164" s="1884"/>
      <c r="H164" s="1026"/>
      <c r="I164" s="4"/>
      <c r="J164" s="2"/>
      <c r="K164" s="597"/>
      <c r="L164" s="44"/>
      <c r="M164" s="1894"/>
      <c r="N164" s="1895"/>
      <c r="O164" s="1897"/>
      <c r="P164" s="1897"/>
      <c r="Q164" s="186">
        <f>O164-P164</f>
        <v>0</v>
      </c>
      <c r="R164" s="1884"/>
      <c r="S164" s="152"/>
      <c r="T164" s="152"/>
      <c r="U164" s="152"/>
      <c r="V164" s="152"/>
      <c r="W164" s="44"/>
      <c r="X164" s="578"/>
      <c r="Y164" s="579"/>
      <c r="Z164" s="581"/>
      <c r="AA164" s="581"/>
      <c r="AB164" s="186">
        <f>Z164-AA164</f>
        <v>0</v>
      </c>
      <c r="AC164" s="124"/>
      <c r="AD164" s="195"/>
      <c r="AE164" s="195"/>
      <c r="AF164" s="195"/>
      <c r="AG164" s="195"/>
      <c r="AH164" s="44"/>
    </row>
    <row r="165" spans="1:34" s="142" customFormat="1" x14ac:dyDescent="0.25">
      <c r="A165" s="1269">
        <v>165</v>
      </c>
      <c r="B165" s="1894"/>
      <c r="C165" s="1895"/>
      <c r="D165" s="1897"/>
      <c r="E165" s="1897"/>
      <c r="F165" s="186">
        <f t="shared" ref="F165:F169" si="100">D165-E165</f>
        <v>0</v>
      </c>
      <c r="G165" s="1884"/>
      <c r="H165" s="2"/>
      <c r="I165" s="597"/>
      <c r="J165" s="2"/>
      <c r="K165" s="2"/>
      <c r="L165" s="44"/>
      <c r="M165" s="1894"/>
      <c r="N165" s="1895"/>
      <c r="O165" s="1897"/>
      <c r="P165" s="1897"/>
      <c r="Q165" s="186">
        <f t="shared" ref="Q165:Q169" si="101">O165-P165</f>
        <v>0</v>
      </c>
      <c r="R165" s="1884"/>
      <c r="S165" s="152"/>
      <c r="T165" s="152"/>
      <c r="U165" s="152"/>
      <c r="V165" s="152"/>
      <c r="W165" s="44"/>
      <c r="X165" s="578"/>
      <c r="Y165" s="579"/>
      <c r="Z165" s="581"/>
      <c r="AA165" s="581"/>
      <c r="AB165" s="186">
        <f t="shared" ref="AB165:AB169" si="102">Z165-AA165</f>
        <v>0</v>
      </c>
      <c r="AC165" s="124"/>
      <c r="AD165" s="195"/>
      <c r="AE165" s="195"/>
      <c r="AF165" s="195"/>
      <c r="AG165" s="195"/>
      <c r="AH165" s="44"/>
    </row>
    <row r="166" spans="1:34" s="142" customFormat="1" x14ac:dyDescent="0.25">
      <c r="A166" s="1269">
        <v>166</v>
      </c>
      <c r="B166" s="1894"/>
      <c r="C166" s="1895"/>
      <c r="D166" s="1897"/>
      <c r="E166" s="1897"/>
      <c r="F166" s="186">
        <f t="shared" si="100"/>
        <v>0</v>
      </c>
      <c r="G166" s="1884"/>
      <c r="H166" s="2"/>
      <c r="I166" s="597"/>
      <c r="J166" s="2"/>
      <c r="K166" s="2"/>
      <c r="L166" s="44"/>
      <c r="M166" s="1894"/>
      <c r="N166" s="1895"/>
      <c r="O166" s="1897"/>
      <c r="P166" s="1897"/>
      <c r="Q166" s="186">
        <f t="shared" si="101"/>
        <v>0</v>
      </c>
      <c r="R166" s="1884"/>
      <c r="S166" s="152"/>
      <c r="T166" s="152"/>
      <c r="U166" s="152"/>
      <c r="V166" s="152"/>
      <c r="W166" s="44"/>
      <c r="X166" s="578"/>
      <c r="Y166" s="579"/>
      <c r="Z166" s="581"/>
      <c r="AA166" s="581"/>
      <c r="AB166" s="186">
        <f t="shared" si="102"/>
        <v>0</v>
      </c>
      <c r="AC166" s="124"/>
      <c r="AD166" s="195"/>
      <c r="AE166" s="195"/>
      <c r="AF166" s="195"/>
      <c r="AG166" s="195"/>
      <c r="AH166" s="44"/>
    </row>
    <row r="167" spans="1:34" s="142" customFormat="1" x14ac:dyDescent="0.25">
      <c r="A167" s="1269">
        <v>167</v>
      </c>
      <c r="B167" s="1894"/>
      <c r="C167" s="1895"/>
      <c r="D167" s="1897"/>
      <c r="E167" s="1897"/>
      <c r="F167" s="186">
        <f t="shared" si="100"/>
        <v>0</v>
      </c>
      <c r="G167" s="1884"/>
      <c r="H167" s="2"/>
      <c r="I167" s="4"/>
      <c r="J167" s="4"/>
      <c r="K167" s="2"/>
      <c r="L167" s="44"/>
      <c r="M167" s="1894"/>
      <c r="N167" s="1895"/>
      <c r="O167" s="1897"/>
      <c r="P167" s="1897"/>
      <c r="Q167" s="186">
        <f t="shared" si="101"/>
        <v>0</v>
      </c>
      <c r="R167" s="1884"/>
      <c r="S167" s="152"/>
      <c r="T167" s="152"/>
      <c r="U167" s="152"/>
      <c r="V167" s="152"/>
      <c r="W167" s="44"/>
      <c r="X167" s="578"/>
      <c r="Y167" s="579"/>
      <c r="Z167" s="581"/>
      <c r="AA167" s="581"/>
      <c r="AB167" s="186">
        <f t="shared" si="102"/>
        <v>0</v>
      </c>
      <c r="AC167" s="124"/>
      <c r="AD167" s="195"/>
      <c r="AE167" s="195"/>
      <c r="AF167" s="195"/>
      <c r="AG167" s="195"/>
      <c r="AH167" s="44"/>
    </row>
    <row r="168" spans="1:34" s="142" customFormat="1" x14ac:dyDescent="0.25">
      <c r="A168" s="1269">
        <v>168</v>
      </c>
      <c r="B168" s="1894"/>
      <c r="C168" s="1895"/>
      <c r="D168" s="1921"/>
      <c r="E168" s="1921"/>
      <c r="F168" s="186">
        <f t="shared" si="100"/>
        <v>0</v>
      </c>
      <c r="G168" s="1922"/>
      <c r="H168" s="2"/>
      <c r="I168" s="2"/>
      <c r="J168" s="2"/>
      <c r="K168" s="2"/>
      <c r="L168" s="44"/>
      <c r="M168" s="1894"/>
      <c r="N168" s="1895"/>
      <c r="O168" s="1895"/>
      <c r="P168" s="1921"/>
      <c r="Q168" s="186">
        <f t="shared" si="101"/>
        <v>0</v>
      </c>
      <c r="R168" s="1922"/>
      <c r="S168" s="152"/>
      <c r="T168" s="152"/>
      <c r="U168" s="152"/>
      <c r="V168" s="152"/>
      <c r="W168" s="44"/>
      <c r="X168" s="189"/>
      <c r="Y168" s="190"/>
      <c r="Z168" s="190"/>
      <c r="AA168" s="190"/>
      <c r="AB168" s="186">
        <f t="shared" si="102"/>
        <v>0</v>
      </c>
      <c r="AC168" s="132"/>
      <c r="AD168" s="195"/>
      <c r="AE168" s="195"/>
      <c r="AF168" s="195"/>
      <c r="AG168" s="195"/>
      <c r="AH168" s="44"/>
    </row>
    <row r="169" spans="1:34" s="142" customFormat="1" x14ac:dyDescent="0.25">
      <c r="A169" s="1269">
        <v>169</v>
      </c>
      <c r="B169" s="1894"/>
      <c r="C169" s="1895"/>
      <c r="D169" s="1895"/>
      <c r="E169" s="1895"/>
      <c r="F169" s="186">
        <f t="shared" si="100"/>
        <v>0</v>
      </c>
      <c r="G169" s="1922"/>
      <c r="H169" s="1026"/>
      <c r="I169" s="2"/>
      <c r="J169" s="2"/>
      <c r="K169" s="2"/>
      <c r="L169" s="44"/>
      <c r="M169" s="1894"/>
      <c r="N169" s="1895"/>
      <c r="O169" s="1895"/>
      <c r="P169" s="1895"/>
      <c r="Q169" s="186">
        <f t="shared" si="101"/>
        <v>0</v>
      </c>
      <c r="R169" s="1922"/>
      <c r="S169" s="152"/>
      <c r="T169" s="152"/>
      <c r="U169" s="152"/>
      <c r="V169" s="152"/>
      <c r="W169" s="44"/>
      <c r="X169" s="189"/>
      <c r="Y169" s="190"/>
      <c r="Z169" s="190"/>
      <c r="AA169" s="190"/>
      <c r="AB169" s="186">
        <f t="shared" si="102"/>
        <v>0</v>
      </c>
      <c r="AC169" s="132"/>
      <c r="AD169" s="195"/>
      <c r="AE169" s="195"/>
      <c r="AF169" s="195"/>
      <c r="AG169" s="195"/>
      <c r="AH169" s="44"/>
    </row>
    <row r="170" spans="1:34" s="142" customFormat="1" ht="15.75" thickBot="1" x14ac:dyDescent="0.3">
      <c r="A170" s="1269">
        <v>170</v>
      </c>
      <c r="B170" s="1539" t="s">
        <v>1071</v>
      </c>
      <c r="C170" s="1540"/>
      <c r="D170" s="1540"/>
      <c r="E170" s="1540"/>
      <c r="F170" s="1242">
        <f>SUM(F164:F169)</f>
        <v>0</v>
      </c>
      <c r="G170" s="1243">
        <f>SUM(G164:G169)</f>
        <v>0</v>
      </c>
      <c r="I170" s="11"/>
      <c r="L170" s="44"/>
      <c r="M170" s="1539" t="s">
        <v>1071</v>
      </c>
      <c r="N170" s="1540"/>
      <c r="O170" s="1540"/>
      <c r="P170" s="1540"/>
      <c r="Q170" s="1242">
        <f>SUM(Q164:Q169)</f>
        <v>0</v>
      </c>
      <c r="R170" s="1243">
        <f>SUM(R164:R169)</f>
        <v>0</v>
      </c>
      <c r="S170" s="152"/>
      <c r="T170" s="152"/>
      <c r="U170" s="152"/>
      <c r="V170" s="152"/>
      <c r="W170" s="44"/>
      <c r="X170" s="1539" t="s">
        <v>1071</v>
      </c>
      <c r="Y170" s="1540"/>
      <c r="Z170" s="1540"/>
      <c r="AA170" s="1540"/>
      <c r="AB170" s="1242">
        <f>SUM(AB164:AB169)</f>
        <v>0</v>
      </c>
      <c r="AC170" s="1243">
        <f>SUM(AC164:AC169)</f>
        <v>0</v>
      </c>
      <c r="AD170" s="195"/>
      <c r="AE170" s="195"/>
      <c r="AF170" s="195"/>
      <c r="AG170" s="195"/>
      <c r="AH170" s="44"/>
    </row>
    <row r="171" spans="1:34" s="391" customFormat="1" x14ac:dyDescent="0.25">
      <c r="A171" s="1269">
        <v>171</v>
      </c>
      <c r="B171" s="1028"/>
      <c r="C171" s="1029"/>
      <c r="D171" s="1029"/>
      <c r="E171" s="1029"/>
      <c r="F171" s="1030"/>
      <c r="G171" s="1029" t="s">
        <v>973</v>
      </c>
      <c r="H171" s="1027">
        <f>(R170+'Input Sheet'!C82-'Input Sheet'!C76)*(0.9)</f>
        <v>0</v>
      </c>
      <c r="I171" s="11"/>
      <c r="L171" s="44"/>
      <c r="M171" s="450"/>
      <c r="N171" s="60"/>
      <c r="O171" s="60"/>
      <c r="P171" s="60"/>
      <c r="Q171" s="4"/>
      <c r="R171" s="4"/>
      <c r="W171" s="44"/>
      <c r="X171" s="450"/>
      <c r="Y171" s="60"/>
      <c r="Z171" s="60"/>
      <c r="AA171" s="60"/>
      <c r="AB171" s="4"/>
      <c r="AC171" s="4"/>
      <c r="AH171" s="44"/>
    </row>
    <row r="172" spans="1:34" s="142" customFormat="1" x14ac:dyDescent="0.25">
      <c r="A172" s="1269">
        <v>172</v>
      </c>
      <c r="B172" s="450"/>
      <c r="L172" s="44"/>
      <c r="M172" s="152"/>
      <c r="N172" s="152"/>
      <c r="O172" s="152"/>
      <c r="P172" s="152"/>
      <c r="Q172" s="152"/>
      <c r="R172" s="152"/>
      <c r="S172" s="152"/>
      <c r="T172" s="152"/>
      <c r="U172" s="152"/>
      <c r="V172" s="152"/>
      <c r="W172" s="44"/>
      <c r="X172" s="195"/>
      <c r="Y172" s="195"/>
      <c r="Z172" s="195"/>
      <c r="AA172" s="195"/>
      <c r="AB172" s="195"/>
      <c r="AC172" s="195"/>
      <c r="AD172" s="195"/>
      <c r="AE172" s="195"/>
      <c r="AF172" s="195"/>
      <c r="AG172" s="195"/>
      <c r="AH172" s="44"/>
    </row>
    <row r="173" spans="1:34" s="139" customFormat="1" ht="15.75" thickBot="1" x14ac:dyDescent="0.3">
      <c r="A173" s="1269">
        <v>173</v>
      </c>
      <c r="L173" s="44"/>
      <c r="M173" s="152"/>
      <c r="N173" s="152"/>
      <c r="O173" s="152"/>
      <c r="P173" s="152"/>
      <c r="Q173" s="152"/>
      <c r="R173" s="152"/>
      <c r="S173" s="152"/>
      <c r="T173" s="152"/>
      <c r="U173" s="152"/>
      <c r="V173" s="152"/>
      <c r="W173" s="44"/>
      <c r="X173" s="195"/>
      <c r="Y173" s="195"/>
      <c r="Z173" s="195"/>
      <c r="AA173" s="195"/>
      <c r="AB173" s="195"/>
      <c r="AC173" s="195"/>
      <c r="AD173" s="195"/>
      <c r="AE173" s="195"/>
      <c r="AF173" s="195"/>
      <c r="AG173" s="195"/>
      <c r="AH173" s="44"/>
    </row>
    <row r="174" spans="1:34" ht="25.5" customHeight="1" x14ac:dyDescent="0.25">
      <c r="A174" s="1269">
        <v>174</v>
      </c>
      <c r="B174" s="1545" t="s">
        <v>713</v>
      </c>
      <c r="C174" s="1559"/>
      <c r="D174" s="1559"/>
      <c r="E174" s="1559"/>
      <c r="F174" s="1559"/>
      <c r="G174" s="1559"/>
      <c r="H174" s="1559"/>
      <c r="I174" s="1560"/>
      <c r="M174" s="1545" t="s">
        <v>129</v>
      </c>
      <c r="N174" s="1559"/>
      <c r="O174" s="1559"/>
      <c r="P174" s="1559"/>
      <c r="Q174" s="1559"/>
      <c r="R174" s="1559"/>
      <c r="S174" s="1559"/>
      <c r="T174" s="1560"/>
      <c r="U174" s="152"/>
      <c r="V174" s="152"/>
      <c r="X174" s="1545" t="s">
        <v>129</v>
      </c>
      <c r="Y174" s="1559"/>
      <c r="Z174" s="1559"/>
      <c r="AA174" s="1559"/>
      <c r="AB174" s="1559"/>
      <c r="AC174" s="1559"/>
      <c r="AD174" s="1559"/>
      <c r="AE174" s="1560"/>
    </row>
    <row r="175" spans="1:34" ht="51" customHeight="1" x14ac:dyDescent="0.3">
      <c r="A175" s="1269">
        <v>175</v>
      </c>
      <c r="B175" s="1561" t="s">
        <v>28</v>
      </c>
      <c r="C175" s="1562"/>
      <c r="D175" s="17" t="s">
        <v>29</v>
      </c>
      <c r="E175" s="17" t="s">
        <v>25</v>
      </c>
      <c r="F175" s="17" t="s">
        <v>26</v>
      </c>
      <c r="G175" s="17" t="s">
        <v>122</v>
      </c>
      <c r="H175" s="73"/>
      <c r="I175" s="22" t="s">
        <v>123</v>
      </c>
      <c r="J175" s="69"/>
      <c r="K175" s="107"/>
      <c r="L175" s="51"/>
      <c r="M175" s="1561" t="s">
        <v>28</v>
      </c>
      <c r="N175" s="1562"/>
      <c r="O175" s="17" t="s">
        <v>29</v>
      </c>
      <c r="P175" s="17" t="s">
        <v>25</v>
      </c>
      <c r="Q175" s="17" t="s">
        <v>26</v>
      </c>
      <c r="R175" s="17" t="s">
        <v>122</v>
      </c>
      <c r="S175" s="73"/>
      <c r="T175" s="22" t="s">
        <v>123</v>
      </c>
      <c r="U175" s="151"/>
      <c r="V175" s="151"/>
      <c r="X175" s="1561" t="s">
        <v>28</v>
      </c>
      <c r="Y175" s="1562"/>
      <c r="Z175" s="17" t="s">
        <v>29</v>
      </c>
      <c r="AA175" s="17" t="s">
        <v>25</v>
      </c>
      <c r="AB175" s="17" t="s">
        <v>26</v>
      </c>
      <c r="AC175" s="17" t="s">
        <v>122</v>
      </c>
      <c r="AD175" s="73"/>
      <c r="AE175" s="22" t="s">
        <v>123</v>
      </c>
      <c r="AF175" s="194"/>
      <c r="AG175" s="194"/>
    </row>
    <row r="176" spans="1:34" x14ac:dyDescent="0.25">
      <c r="A176" s="1269">
        <v>176</v>
      </c>
      <c r="B176" s="1882"/>
      <c r="C176" s="1883"/>
      <c r="D176" s="1895"/>
      <c r="E176" s="1897"/>
      <c r="F176" s="1897"/>
      <c r="G176" s="7">
        <f>E176-F176</f>
        <v>0</v>
      </c>
      <c r="H176" s="56"/>
      <c r="I176" s="1884"/>
      <c r="M176" s="1882"/>
      <c r="N176" s="1883"/>
      <c r="O176" s="1895"/>
      <c r="P176" s="1897"/>
      <c r="Q176" s="1897"/>
      <c r="R176" s="7">
        <f>P176-Q176</f>
        <v>0</v>
      </c>
      <c r="S176" s="56"/>
      <c r="T176" s="1884"/>
      <c r="U176" s="152"/>
      <c r="V176" s="152"/>
      <c r="X176" s="1476"/>
      <c r="Y176" s="1477"/>
      <c r="Z176" s="190"/>
      <c r="AA176" s="123"/>
      <c r="AB176" s="123"/>
      <c r="AC176" s="7">
        <f>AA176-AB176</f>
        <v>0</v>
      </c>
      <c r="AD176" s="56"/>
      <c r="AE176" s="124"/>
    </row>
    <row r="177" spans="1:33" x14ac:dyDescent="0.25">
      <c r="A177" s="1269">
        <v>177</v>
      </c>
      <c r="B177" s="1882"/>
      <c r="C177" s="1883"/>
      <c r="D177" s="1895"/>
      <c r="E177" s="1897"/>
      <c r="F177" s="1897"/>
      <c r="G177" s="7">
        <f>E177-F177</f>
        <v>0</v>
      </c>
      <c r="H177" s="56"/>
      <c r="I177" s="1884"/>
      <c r="M177" s="1882"/>
      <c r="N177" s="1883"/>
      <c r="O177" s="1895"/>
      <c r="P177" s="1897"/>
      <c r="Q177" s="1897"/>
      <c r="R177" s="7">
        <f>P177-Q177</f>
        <v>0</v>
      </c>
      <c r="S177" s="56"/>
      <c r="T177" s="1884"/>
      <c r="U177" s="152"/>
      <c r="V177" s="152"/>
      <c r="X177" s="1476"/>
      <c r="Y177" s="1477"/>
      <c r="Z177" s="190"/>
      <c r="AA177" s="123"/>
      <c r="AB177" s="123"/>
      <c r="AC177" s="7">
        <f>AA177-AB177</f>
        <v>0</v>
      </c>
      <c r="AD177" s="56"/>
      <c r="AE177" s="124"/>
    </row>
    <row r="178" spans="1:33" ht="23.1" customHeight="1" thickBot="1" x14ac:dyDescent="0.3">
      <c r="A178" s="1269">
        <v>178</v>
      </c>
      <c r="B178" s="1563" t="s">
        <v>1057</v>
      </c>
      <c r="C178" s="1564"/>
      <c r="D178" s="1564"/>
      <c r="E178" s="1564"/>
      <c r="F178" s="1565"/>
      <c r="G178" s="1244">
        <f>SUM(G176:G177)</f>
        <v>0</v>
      </c>
      <c r="H178" s="74"/>
      <c r="I178" s="1245">
        <f>SUM(I176:I177)</f>
        <v>0</v>
      </c>
      <c r="M178" s="1563" t="s">
        <v>1057</v>
      </c>
      <c r="N178" s="1564"/>
      <c r="O178" s="1564"/>
      <c r="P178" s="1564"/>
      <c r="Q178" s="1565"/>
      <c r="R178" s="1244">
        <f>SUM(R176:R177)</f>
        <v>0</v>
      </c>
      <c r="S178" s="74"/>
      <c r="T178" s="1245">
        <f>SUM(T176:T177)</f>
        <v>0</v>
      </c>
      <c r="U178" s="152"/>
      <c r="V178" s="152"/>
      <c r="X178" s="1563" t="s">
        <v>1057</v>
      </c>
      <c r="Y178" s="1564"/>
      <c r="Z178" s="1564"/>
      <c r="AA178" s="1564"/>
      <c r="AB178" s="1565"/>
      <c r="AC178" s="1244">
        <f>SUM(AC176:AC177)</f>
        <v>0</v>
      </c>
      <c r="AD178" s="74"/>
      <c r="AE178" s="1245">
        <f>SUM(AE176:AE177)</f>
        <v>0</v>
      </c>
    </row>
    <row r="179" spans="1:33" ht="46.5" customHeight="1" thickTop="1" x14ac:dyDescent="0.3">
      <c r="A179" s="1269">
        <v>179</v>
      </c>
      <c r="B179" s="141" t="s">
        <v>30</v>
      </c>
      <c r="C179" s="29" t="s">
        <v>27</v>
      </c>
      <c r="D179" s="29" t="s">
        <v>21</v>
      </c>
      <c r="E179" s="29" t="s">
        <v>60</v>
      </c>
      <c r="F179" s="29" t="s">
        <v>26</v>
      </c>
      <c r="G179" s="29" t="s">
        <v>22</v>
      </c>
      <c r="H179" s="31" t="s">
        <v>56</v>
      </c>
      <c r="I179" s="31" t="s">
        <v>23</v>
      </c>
      <c r="M179" s="148" t="s">
        <v>30</v>
      </c>
      <c r="N179" s="29" t="s">
        <v>27</v>
      </c>
      <c r="O179" s="29" t="s">
        <v>21</v>
      </c>
      <c r="P179" s="29" t="s">
        <v>60</v>
      </c>
      <c r="Q179" s="29" t="s">
        <v>26</v>
      </c>
      <c r="R179" s="29" t="s">
        <v>22</v>
      </c>
      <c r="S179" s="31" t="s">
        <v>56</v>
      </c>
      <c r="T179" s="31" t="s">
        <v>23</v>
      </c>
      <c r="U179" s="152"/>
      <c r="V179" s="152"/>
      <c r="X179" s="192" t="s">
        <v>30</v>
      </c>
      <c r="Y179" s="29" t="s">
        <v>27</v>
      </c>
      <c r="Z179" s="29" t="s">
        <v>21</v>
      </c>
      <c r="AA179" s="29" t="s">
        <v>60</v>
      </c>
      <c r="AB179" s="29" t="s">
        <v>26</v>
      </c>
      <c r="AC179" s="29" t="s">
        <v>22</v>
      </c>
      <c r="AD179" s="31" t="s">
        <v>56</v>
      </c>
      <c r="AE179" s="31" t="s">
        <v>23</v>
      </c>
    </row>
    <row r="180" spans="1:33" x14ac:dyDescent="0.25">
      <c r="A180" s="1269">
        <v>180</v>
      </c>
      <c r="B180" s="1894"/>
      <c r="C180" s="1923"/>
      <c r="D180" s="1895"/>
      <c r="E180" s="1897"/>
      <c r="F180" s="1897"/>
      <c r="G180" s="7">
        <f>(D180*E180)-F180</f>
        <v>0</v>
      </c>
      <c r="H180" s="1884"/>
      <c r="I180" s="27">
        <f>H180*D180</f>
        <v>0</v>
      </c>
      <c r="J180" s="11"/>
      <c r="K180" s="11"/>
      <c r="L180" s="52"/>
      <c r="M180" s="1894"/>
      <c r="N180" s="1923"/>
      <c r="O180" s="1895"/>
      <c r="P180" s="1897"/>
      <c r="Q180" s="1897"/>
      <c r="R180" s="7">
        <f>(O180*P180)-Q180</f>
        <v>0</v>
      </c>
      <c r="S180" s="1884"/>
      <c r="T180" s="27">
        <f>S180*O180</f>
        <v>0</v>
      </c>
      <c r="U180" s="11"/>
      <c r="V180" s="11"/>
      <c r="X180" s="578"/>
      <c r="Y180" s="130"/>
      <c r="Z180" s="579"/>
      <c r="AA180" s="581"/>
      <c r="AB180" s="581"/>
      <c r="AC180" s="7">
        <f>(Z180*AA180)-AB180</f>
        <v>0</v>
      </c>
      <c r="AD180" s="124"/>
      <c r="AE180" s="27">
        <f>AD180*Z180</f>
        <v>0</v>
      </c>
      <c r="AF180" s="11"/>
      <c r="AG180" s="11"/>
    </row>
    <row r="181" spans="1:33" x14ac:dyDescent="0.25">
      <c r="A181" s="1269">
        <v>181</v>
      </c>
      <c r="B181" s="1894"/>
      <c r="C181" s="1923"/>
      <c r="D181" s="1895"/>
      <c r="E181" s="1897"/>
      <c r="F181" s="1897"/>
      <c r="G181" s="7">
        <f t="shared" ref="G181:G188" si="103">(D181*E181)-F181</f>
        <v>0</v>
      </c>
      <c r="H181" s="1884"/>
      <c r="I181" s="27">
        <f t="shared" ref="I181:I188" si="104">H181*D181</f>
        <v>0</v>
      </c>
      <c r="J181" s="11"/>
      <c r="K181" s="11"/>
      <c r="L181" s="52"/>
      <c r="M181" s="1894"/>
      <c r="N181" s="1923"/>
      <c r="O181" s="1895"/>
      <c r="P181" s="1897"/>
      <c r="Q181" s="1897"/>
      <c r="R181" s="7">
        <f t="shared" ref="R181:R188" si="105">(O181*P181)-Q181</f>
        <v>0</v>
      </c>
      <c r="S181" s="1884"/>
      <c r="T181" s="27">
        <f t="shared" ref="T181:T188" si="106">S181*O181</f>
        <v>0</v>
      </c>
      <c r="U181" s="11"/>
      <c r="V181" s="11"/>
      <c r="X181" s="189"/>
      <c r="Y181" s="130"/>
      <c r="Z181" s="190"/>
      <c r="AA181" s="123"/>
      <c r="AB181" s="123"/>
      <c r="AC181" s="7">
        <f t="shared" ref="AC181:AC188" si="107">(Z181*AA181)-AB181</f>
        <v>0</v>
      </c>
      <c r="AD181" s="124"/>
      <c r="AE181" s="27">
        <f t="shared" ref="AE181:AE188" si="108">AD181*Z181</f>
        <v>0</v>
      </c>
      <c r="AF181" s="11"/>
      <c r="AG181" s="11"/>
    </row>
    <row r="182" spans="1:33" x14ac:dyDescent="0.25">
      <c r="A182" s="1269">
        <v>182</v>
      </c>
      <c r="B182" s="1894"/>
      <c r="C182" s="1923"/>
      <c r="D182" s="1895"/>
      <c r="E182" s="1897"/>
      <c r="F182" s="1897"/>
      <c r="G182" s="7">
        <f t="shared" si="103"/>
        <v>0</v>
      </c>
      <c r="H182" s="1884"/>
      <c r="I182" s="27">
        <f t="shared" si="104"/>
        <v>0</v>
      </c>
      <c r="J182" s="11"/>
      <c r="K182" s="11"/>
      <c r="L182" s="52"/>
      <c r="M182" s="1894"/>
      <c r="N182" s="1923"/>
      <c r="O182" s="1895"/>
      <c r="P182" s="1897"/>
      <c r="Q182" s="1897"/>
      <c r="R182" s="7">
        <f t="shared" si="105"/>
        <v>0</v>
      </c>
      <c r="S182" s="1884"/>
      <c r="T182" s="27">
        <f t="shared" si="106"/>
        <v>0</v>
      </c>
      <c r="U182" s="11"/>
      <c r="V182" s="11"/>
      <c r="X182" s="189"/>
      <c r="Y182" s="130"/>
      <c r="Z182" s="190"/>
      <c r="AA182" s="123"/>
      <c r="AB182" s="123"/>
      <c r="AC182" s="7">
        <f t="shared" si="107"/>
        <v>0</v>
      </c>
      <c r="AD182" s="124"/>
      <c r="AE182" s="27">
        <f t="shared" si="108"/>
        <v>0</v>
      </c>
      <c r="AF182" s="11"/>
      <c r="AG182" s="11"/>
    </row>
    <row r="183" spans="1:33" x14ac:dyDescent="0.25">
      <c r="A183" s="1269">
        <v>183</v>
      </c>
      <c r="B183" s="1894"/>
      <c r="C183" s="1923"/>
      <c r="D183" s="1895"/>
      <c r="E183" s="1897"/>
      <c r="F183" s="1897"/>
      <c r="G183" s="7">
        <f t="shared" si="103"/>
        <v>0</v>
      </c>
      <c r="H183" s="1884"/>
      <c r="I183" s="27">
        <f t="shared" si="104"/>
        <v>0</v>
      </c>
      <c r="J183" s="11"/>
      <c r="K183" s="11"/>
      <c r="L183" s="52"/>
      <c r="M183" s="1894"/>
      <c r="N183" s="1923"/>
      <c r="O183" s="1895"/>
      <c r="P183" s="1897"/>
      <c r="Q183" s="1897"/>
      <c r="R183" s="7">
        <f t="shared" si="105"/>
        <v>0</v>
      </c>
      <c r="S183" s="1884"/>
      <c r="T183" s="27">
        <f t="shared" si="106"/>
        <v>0</v>
      </c>
      <c r="U183" s="11"/>
      <c r="V183" s="11"/>
      <c r="X183" s="189"/>
      <c r="Y183" s="130"/>
      <c r="Z183" s="190"/>
      <c r="AA183" s="123"/>
      <c r="AB183" s="123"/>
      <c r="AC183" s="7">
        <f t="shared" si="107"/>
        <v>0</v>
      </c>
      <c r="AD183" s="124"/>
      <c r="AE183" s="27">
        <f t="shared" si="108"/>
        <v>0</v>
      </c>
      <c r="AF183" s="11"/>
      <c r="AG183" s="11"/>
    </row>
    <row r="184" spans="1:33" x14ac:dyDescent="0.25">
      <c r="A184" s="1269">
        <v>184</v>
      </c>
      <c r="B184" s="1894"/>
      <c r="C184" s="1923"/>
      <c r="D184" s="1895"/>
      <c r="E184" s="1897"/>
      <c r="F184" s="1897"/>
      <c r="G184" s="7">
        <f t="shared" si="103"/>
        <v>0</v>
      </c>
      <c r="H184" s="1884"/>
      <c r="I184" s="27">
        <f t="shared" si="104"/>
        <v>0</v>
      </c>
      <c r="M184" s="1894"/>
      <c r="N184" s="1923"/>
      <c r="O184" s="1895"/>
      <c r="P184" s="1897"/>
      <c r="Q184" s="1897"/>
      <c r="R184" s="7">
        <f t="shared" si="105"/>
        <v>0</v>
      </c>
      <c r="S184" s="1884"/>
      <c r="T184" s="27">
        <f t="shared" si="106"/>
        <v>0</v>
      </c>
      <c r="U184" s="152"/>
      <c r="V184" s="152"/>
      <c r="X184" s="189"/>
      <c r="Y184" s="130"/>
      <c r="Z184" s="190"/>
      <c r="AA184" s="123"/>
      <c r="AB184" s="123"/>
      <c r="AC184" s="7">
        <f t="shared" si="107"/>
        <v>0</v>
      </c>
      <c r="AD184" s="124"/>
      <c r="AE184" s="27">
        <f t="shared" si="108"/>
        <v>0</v>
      </c>
    </row>
    <row r="185" spans="1:33" x14ac:dyDescent="0.25">
      <c r="A185" s="1269">
        <v>185</v>
      </c>
      <c r="B185" s="1894"/>
      <c r="C185" s="1923"/>
      <c r="D185" s="1895"/>
      <c r="E185" s="1897"/>
      <c r="F185" s="1897"/>
      <c r="G185" s="7">
        <f t="shared" si="103"/>
        <v>0</v>
      </c>
      <c r="H185" s="1884"/>
      <c r="I185" s="27">
        <f t="shared" si="104"/>
        <v>0</v>
      </c>
      <c r="J185" s="1"/>
      <c r="K185" s="1"/>
      <c r="L185" s="53"/>
      <c r="M185" s="1894"/>
      <c r="N185" s="1923"/>
      <c r="O185" s="1895"/>
      <c r="P185" s="1897"/>
      <c r="Q185" s="1897"/>
      <c r="R185" s="7">
        <f t="shared" si="105"/>
        <v>0</v>
      </c>
      <c r="S185" s="1884"/>
      <c r="T185" s="27">
        <f t="shared" si="106"/>
        <v>0</v>
      </c>
      <c r="U185" s="1"/>
      <c r="V185" s="1"/>
      <c r="X185" s="189"/>
      <c r="Y185" s="130"/>
      <c r="Z185" s="190"/>
      <c r="AA185" s="123"/>
      <c r="AB185" s="123"/>
      <c r="AC185" s="7">
        <f t="shared" si="107"/>
        <v>0</v>
      </c>
      <c r="AD185" s="124"/>
      <c r="AE185" s="27">
        <f t="shared" si="108"/>
        <v>0</v>
      </c>
      <c r="AF185" s="1"/>
      <c r="AG185" s="1"/>
    </row>
    <row r="186" spans="1:33" x14ac:dyDescent="0.25">
      <c r="A186" s="1269">
        <v>186</v>
      </c>
      <c r="B186" s="1894"/>
      <c r="C186" s="1923"/>
      <c r="D186" s="1895"/>
      <c r="E186" s="1897"/>
      <c r="F186" s="1897"/>
      <c r="G186" s="7">
        <f t="shared" si="103"/>
        <v>0</v>
      </c>
      <c r="H186" s="1884"/>
      <c r="I186" s="27">
        <f t="shared" si="104"/>
        <v>0</v>
      </c>
      <c r="J186" s="39"/>
      <c r="K186" s="39"/>
      <c r="L186" s="54"/>
      <c r="M186" s="1894"/>
      <c r="N186" s="1923"/>
      <c r="O186" s="1895"/>
      <c r="P186" s="1897"/>
      <c r="Q186" s="1897"/>
      <c r="R186" s="7">
        <f t="shared" si="105"/>
        <v>0</v>
      </c>
      <c r="S186" s="1884"/>
      <c r="T186" s="27">
        <f t="shared" si="106"/>
        <v>0</v>
      </c>
      <c r="U186" s="39"/>
      <c r="V186" s="39"/>
      <c r="X186" s="189"/>
      <c r="Y186" s="130"/>
      <c r="Z186" s="190"/>
      <c r="AA186" s="123"/>
      <c r="AB186" s="123"/>
      <c r="AC186" s="7">
        <f t="shared" si="107"/>
        <v>0</v>
      </c>
      <c r="AD186" s="124"/>
      <c r="AE186" s="27">
        <f t="shared" si="108"/>
        <v>0</v>
      </c>
      <c r="AF186" s="39"/>
      <c r="AG186" s="39"/>
    </row>
    <row r="187" spans="1:33" x14ac:dyDescent="0.25">
      <c r="A187" s="1269">
        <v>187</v>
      </c>
      <c r="B187" s="1894"/>
      <c r="C187" s="1923"/>
      <c r="D187" s="1895"/>
      <c r="E187" s="1897"/>
      <c r="F187" s="1897"/>
      <c r="G187" s="7">
        <f t="shared" si="103"/>
        <v>0</v>
      </c>
      <c r="H187" s="1884"/>
      <c r="I187" s="27">
        <f t="shared" si="104"/>
        <v>0</v>
      </c>
      <c r="M187" s="1894"/>
      <c r="N187" s="1923"/>
      <c r="O187" s="1895"/>
      <c r="P187" s="1897"/>
      <c r="Q187" s="1897"/>
      <c r="R187" s="7">
        <f t="shared" si="105"/>
        <v>0</v>
      </c>
      <c r="S187" s="1884"/>
      <c r="T187" s="27">
        <f t="shared" si="106"/>
        <v>0</v>
      </c>
      <c r="U187" s="152"/>
      <c r="V187" s="152"/>
      <c r="X187" s="189"/>
      <c r="Y187" s="130"/>
      <c r="Z187" s="190"/>
      <c r="AA187" s="123"/>
      <c r="AB187" s="123"/>
      <c r="AC187" s="7">
        <f t="shared" si="107"/>
        <v>0</v>
      </c>
      <c r="AD187" s="124"/>
      <c r="AE187" s="27">
        <f t="shared" si="108"/>
        <v>0</v>
      </c>
    </row>
    <row r="188" spans="1:33" x14ac:dyDescent="0.25">
      <c r="A188" s="1269">
        <v>188</v>
      </c>
      <c r="B188" s="1894"/>
      <c r="C188" s="1923"/>
      <c r="D188" s="1895"/>
      <c r="E188" s="1897"/>
      <c r="F188" s="1897"/>
      <c r="G188" s="7">
        <f t="shared" si="103"/>
        <v>0</v>
      </c>
      <c r="H188" s="1884"/>
      <c r="I188" s="27">
        <f t="shared" si="104"/>
        <v>0</v>
      </c>
      <c r="M188" s="1894"/>
      <c r="N188" s="1923"/>
      <c r="O188" s="1895"/>
      <c r="P188" s="1897"/>
      <c r="Q188" s="1897"/>
      <c r="R188" s="7">
        <f t="shared" si="105"/>
        <v>0</v>
      </c>
      <c r="S188" s="1884"/>
      <c r="T188" s="27">
        <f t="shared" si="106"/>
        <v>0</v>
      </c>
      <c r="U188" s="152"/>
      <c r="V188" s="152"/>
      <c r="X188" s="189"/>
      <c r="Y188" s="130"/>
      <c r="Z188" s="190"/>
      <c r="AA188" s="123"/>
      <c r="AB188" s="123"/>
      <c r="AC188" s="7">
        <f t="shared" si="107"/>
        <v>0</v>
      </c>
      <c r="AD188" s="124"/>
      <c r="AE188" s="27">
        <f t="shared" si="108"/>
        <v>0</v>
      </c>
    </row>
    <row r="189" spans="1:33" ht="23.45" customHeight="1" thickBot="1" x14ac:dyDescent="0.3">
      <c r="A189" s="1269">
        <v>189</v>
      </c>
      <c r="B189" s="1548" t="s">
        <v>1058</v>
      </c>
      <c r="C189" s="1549"/>
      <c r="D189" s="1549"/>
      <c r="E189" s="1549"/>
      <c r="F189" s="1549"/>
      <c r="G189" s="1246">
        <f>SUM(G180:G188)</f>
        <v>0</v>
      </c>
      <c r="H189" s="28"/>
      <c r="I189" s="1247">
        <f>SUM(I180:I188)</f>
        <v>0</v>
      </c>
      <c r="J189" s="38"/>
      <c r="K189" s="593"/>
      <c r="L189" s="50"/>
      <c r="M189" s="1548" t="s">
        <v>1058</v>
      </c>
      <c r="N189" s="1549"/>
      <c r="O189" s="1549"/>
      <c r="P189" s="1549"/>
      <c r="Q189" s="1549"/>
      <c r="R189" s="1246">
        <f>SUM(R180:R188)</f>
        <v>0</v>
      </c>
      <c r="S189" s="28"/>
      <c r="T189" s="1247">
        <f>SUM(T180:T188)</f>
        <v>0</v>
      </c>
      <c r="U189" s="38"/>
      <c r="V189" s="38"/>
      <c r="X189" s="1548" t="s">
        <v>1058</v>
      </c>
      <c r="Y189" s="1549"/>
      <c r="Z189" s="1549"/>
      <c r="AA189" s="1549"/>
      <c r="AB189" s="1549"/>
      <c r="AC189" s="1246">
        <f>SUM(AC180:AC188)</f>
        <v>0</v>
      </c>
      <c r="AD189" s="28"/>
      <c r="AE189" s="1247">
        <f>SUM(AE180:AE188)</f>
        <v>0</v>
      </c>
      <c r="AF189" s="38"/>
      <c r="AG189" s="38"/>
    </row>
    <row r="190" spans="1:33" ht="33.75" customHeight="1" thickTop="1" x14ac:dyDescent="0.3">
      <c r="A190" s="1269">
        <v>190</v>
      </c>
      <c r="B190" s="1550" t="s">
        <v>31</v>
      </c>
      <c r="C190" s="1551"/>
      <c r="D190" s="29" t="s">
        <v>29</v>
      </c>
      <c r="E190" s="29" t="s">
        <v>25</v>
      </c>
      <c r="F190" s="29" t="s">
        <v>26</v>
      </c>
      <c r="G190" s="29" t="s">
        <v>22</v>
      </c>
      <c r="H190" s="75"/>
      <c r="I190" s="31" t="s">
        <v>23</v>
      </c>
      <c r="M190" s="1550" t="s">
        <v>31</v>
      </c>
      <c r="N190" s="1551"/>
      <c r="O190" s="29" t="s">
        <v>29</v>
      </c>
      <c r="P190" s="29" t="s">
        <v>25</v>
      </c>
      <c r="Q190" s="29" t="s">
        <v>26</v>
      </c>
      <c r="R190" s="29" t="s">
        <v>22</v>
      </c>
      <c r="S190" s="75"/>
      <c r="T190" s="31" t="s">
        <v>23</v>
      </c>
      <c r="U190" s="152"/>
      <c r="V190" s="152"/>
      <c r="X190" s="1550" t="s">
        <v>31</v>
      </c>
      <c r="Y190" s="1551"/>
      <c r="Z190" s="29" t="s">
        <v>29</v>
      </c>
      <c r="AA190" s="29" t="s">
        <v>25</v>
      </c>
      <c r="AB190" s="29" t="s">
        <v>26</v>
      </c>
      <c r="AC190" s="29" t="s">
        <v>22</v>
      </c>
      <c r="AD190" s="75"/>
      <c r="AE190" s="31" t="s">
        <v>23</v>
      </c>
    </row>
    <row r="191" spans="1:33" x14ac:dyDescent="0.25">
      <c r="A191" s="1269">
        <v>191</v>
      </c>
      <c r="B191" s="1915" t="s">
        <v>957</v>
      </c>
      <c r="C191" s="1916"/>
      <c r="D191" s="1895"/>
      <c r="E191" s="1897"/>
      <c r="F191" s="1897"/>
      <c r="G191" s="7">
        <f>E191-F191</f>
        <v>0</v>
      </c>
      <c r="H191" s="56"/>
      <c r="I191" s="1884"/>
      <c r="J191" s="453"/>
      <c r="M191" s="1915"/>
      <c r="N191" s="1916"/>
      <c r="O191" s="1895"/>
      <c r="P191" s="1897"/>
      <c r="Q191" s="1897"/>
      <c r="R191" s="7">
        <f>P191-Q191</f>
        <v>0</v>
      </c>
      <c r="S191" s="56"/>
      <c r="T191" s="1884"/>
      <c r="U191" s="152"/>
      <c r="V191" s="152"/>
      <c r="X191" s="1478"/>
      <c r="Y191" s="1481"/>
      <c r="Z191" s="579"/>
      <c r="AA191" s="581"/>
      <c r="AB191" s="581"/>
      <c r="AC191" s="7">
        <f>AA191-AB191</f>
        <v>0</v>
      </c>
      <c r="AD191" s="56"/>
      <c r="AE191" s="124"/>
    </row>
    <row r="192" spans="1:33" x14ac:dyDescent="0.25">
      <c r="A192" s="1269">
        <v>192</v>
      </c>
      <c r="B192" s="1915"/>
      <c r="C192" s="1916"/>
      <c r="D192" s="1895"/>
      <c r="E192" s="1897"/>
      <c r="F192" s="1897"/>
      <c r="G192" s="7">
        <f t="shared" ref="G192:G196" si="109">E192-F192</f>
        <v>0</v>
      </c>
      <c r="H192" s="56"/>
      <c r="I192" s="1884"/>
      <c r="J192" s="453"/>
      <c r="M192" s="1915"/>
      <c r="N192" s="1916"/>
      <c r="O192" s="1895"/>
      <c r="P192" s="1897"/>
      <c r="Q192" s="1897"/>
      <c r="R192" s="7">
        <f t="shared" ref="R192:R196" si="110">P192-Q192</f>
        <v>0</v>
      </c>
      <c r="S192" s="56"/>
      <c r="T192" s="1884"/>
      <c r="U192" s="152"/>
      <c r="V192" s="152"/>
      <c r="X192" s="1478"/>
      <c r="Y192" s="1481"/>
      <c r="Z192" s="190"/>
      <c r="AA192" s="123"/>
      <c r="AB192" s="123"/>
      <c r="AC192" s="7">
        <f t="shared" ref="AC192:AC196" si="111">AA192-AB192</f>
        <v>0</v>
      </c>
      <c r="AD192" s="56"/>
      <c r="AE192" s="124"/>
    </row>
    <row r="193" spans="1:34" x14ac:dyDescent="0.25">
      <c r="A193" s="1269">
        <v>193</v>
      </c>
      <c r="B193" s="1915"/>
      <c r="C193" s="1916"/>
      <c r="D193" s="1895"/>
      <c r="E193" s="1897"/>
      <c r="F193" s="1897"/>
      <c r="G193" s="7">
        <f t="shared" si="109"/>
        <v>0</v>
      </c>
      <c r="H193" s="56"/>
      <c r="I193" s="1884"/>
      <c r="M193" s="1915"/>
      <c r="N193" s="1916"/>
      <c r="O193" s="1895"/>
      <c r="P193" s="1897"/>
      <c r="Q193" s="1897"/>
      <c r="R193" s="7">
        <f t="shared" si="110"/>
        <v>0</v>
      </c>
      <c r="S193" s="56"/>
      <c r="T193" s="1884"/>
      <c r="U193" s="152"/>
      <c r="V193" s="152"/>
      <c r="X193" s="1478"/>
      <c r="Y193" s="1481"/>
      <c r="Z193" s="190"/>
      <c r="AA193" s="123"/>
      <c r="AB193" s="123"/>
      <c r="AC193" s="7">
        <f t="shared" si="111"/>
        <v>0</v>
      </c>
      <c r="AD193" s="56"/>
      <c r="AE193" s="124"/>
    </row>
    <row r="194" spans="1:34" x14ac:dyDescent="0.25">
      <c r="A194" s="1269">
        <v>194</v>
      </c>
      <c r="B194" s="1915"/>
      <c r="C194" s="1916"/>
      <c r="D194" s="1895"/>
      <c r="E194" s="1897"/>
      <c r="F194" s="1897"/>
      <c r="G194" s="7">
        <f t="shared" si="109"/>
        <v>0</v>
      </c>
      <c r="H194" s="56"/>
      <c r="I194" s="1884"/>
      <c r="M194" s="1915"/>
      <c r="N194" s="1916"/>
      <c r="O194" s="1895"/>
      <c r="P194" s="1897"/>
      <c r="Q194" s="1897"/>
      <c r="R194" s="7">
        <f t="shared" si="110"/>
        <v>0</v>
      </c>
      <c r="S194" s="56"/>
      <c r="T194" s="1884"/>
      <c r="U194" s="152"/>
      <c r="V194" s="152"/>
      <c r="X194" s="1478"/>
      <c r="Y194" s="1481"/>
      <c r="Z194" s="190"/>
      <c r="AA194" s="123"/>
      <c r="AB194" s="123"/>
      <c r="AC194" s="7">
        <f t="shared" si="111"/>
        <v>0</v>
      </c>
      <c r="AD194" s="56"/>
      <c r="AE194" s="124"/>
    </row>
    <row r="195" spans="1:34" x14ac:dyDescent="0.25">
      <c r="A195" s="1269">
        <v>195</v>
      </c>
      <c r="B195" s="1915"/>
      <c r="C195" s="1916"/>
      <c r="D195" s="1895"/>
      <c r="E195" s="1897"/>
      <c r="F195" s="1897"/>
      <c r="G195" s="7">
        <f t="shared" si="109"/>
        <v>0</v>
      </c>
      <c r="H195" s="56"/>
      <c r="I195" s="1884"/>
      <c r="M195" s="1915"/>
      <c r="N195" s="1916"/>
      <c r="O195" s="1895"/>
      <c r="P195" s="1897"/>
      <c r="Q195" s="1897"/>
      <c r="R195" s="7">
        <f t="shared" si="110"/>
        <v>0</v>
      </c>
      <c r="S195" s="56"/>
      <c r="T195" s="1884"/>
      <c r="U195" s="152"/>
      <c r="V195" s="152"/>
      <c r="X195" s="1478"/>
      <c r="Y195" s="1481"/>
      <c r="Z195" s="190"/>
      <c r="AA195" s="123"/>
      <c r="AB195" s="123"/>
      <c r="AC195" s="7">
        <f t="shared" si="111"/>
        <v>0</v>
      </c>
      <c r="AD195" s="56"/>
      <c r="AE195" s="124"/>
    </row>
    <row r="196" spans="1:34" x14ac:dyDescent="0.25">
      <c r="A196" s="1269">
        <v>196</v>
      </c>
      <c r="B196" s="1915"/>
      <c r="C196" s="1916"/>
      <c r="D196" s="1895"/>
      <c r="E196" s="1897"/>
      <c r="F196" s="1897"/>
      <c r="G196" s="7">
        <f t="shared" si="109"/>
        <v>0</v>
      </c>
      <c r="H196" s="56"/>
      <c r="I196" s="1884"/>
      <c r="M196" s="1915"/>
      <c r="N196" s="1916"/>
      <c r="O196" s="1895"/>
      <c r="P196" s="1897"/>
      <c r="Q196" s="1897"/>
      <c r="R196" s="7">
        <f t="shared" si="110"/>
        <v>0</v>
      </c>
      <c r="S196" s="56"/>
      <c r="T196" s="1884"/>
      <c r="U196" s="152"/>
      <c r="V196" s="152"/>
      <c r="X196" s="1478"/>
      <c r="Y196" s="1481"/>
      <c r="Z196" s="190"/>
      <c r="AA196" s="123"/>
      <c r="AB196" s="123"/>
      <c r="AC196" s="7">
        <f t="shared" si="111"/>
        <v>0</v>
      </c>
      <c r="AD196" s="56"/>
      <c r="AE196" s="124"/>
    </row>
    <row r="197" spans="1:34" ht="21.6" customHeight="1" thickBot="1" x14ac:dyDescent="0.3">
      <c r="A197" s="1269">
        <v>197</v>
      </c>
      <c r="B197" s="1486" t="s">
        <v>1059</v>
      </c>
      <c r="C197" s="1552"/>
      <c r="D197" s="1552"/>
      <c r="E197" s="1552"/>
      <c r="F197" s="1553"/>
      <c r="G197" s="1231">
        <f>SUM(G191:G196)</f>
        <v>0</v>
      </c>
      <c r="H197" s="76"/>
      <c r="I197" s="1232">
        <f>SUM(I191:I196)</f>
        <v>0</v>
      </c>
      <c r="J197" s="38"/>
      <c r="K197" s="38"/>
      <c r="L197" s="50"/>
      <c r="M197" s="1486" t="s">
        <v>1059</v>
      </c>
      <c r="N197" s="1552"/>
      <c r="O197" s="1552"/>
      <c r="P197" s="1552"/>
      <c r="Q197" s="1553"/>
      <c r="R197" s="1231">
        <f>SUM(R191:R196)</f>
        <v>0</v>
      </c>
      <c r="S197" s="76"/>
      <c r="T197" s="1232">
        <f>SUM(T191:T196)</f>
        <v>0</v>
      </c>
      <c r="U197" s="38"/>
      <c r="V197" s="38"/>
      <c r="X197" s="1486" t="s">
        <v>1059</v>
      </c>
      <c r="Y197" s="1552"/>
      <c r="Z197" s="1552"/>
      <c r="AA197" s="1552"/>
      <c r="AB197" s="1553"/>
      <c r="AC197" s="1231">
        <f>SUM(AC191:AC196)</f>
        <v>0</v>
      </c>
      <c r="AD197" s="76"/>
      <c r="AE197" s="1232">
        <f>SUM(AE191:AE196)</f>
        <v>0</v>
      </c>
      <c r="AF197" s="38"/>
      <c r="AG197" s="38"/>
    </row>
    <row r="198" spans="1:34" s="391" customFormat="1" ht="17.649999999999999" customHeight="1" x14ac:dyDescent="0.25">
      <c r="A198" s="1269">
        <v>198</v>
      </c>
      <c r="B198" s="1046"/>
      <c r="C198" s="1047"/>
      <c r="D198" s="1047"/>
      <c r="E198" s="1047"/>
      <c r="F198" s="1048"/>
      <c r="G198" s="1049"/>
      <c r="H198" s="1047" t="s">
        <v>991</v>
      </c>
      <c r="I198" s="1050">
        <f>(T197+'Input Sheet'!C84-'Input Sheet'!C78)*(0.95)</f>
        <v>0</v>
      </c>
      <c r="J198" s="38"/>
      <c r="K198" s="38"/>
      <c r="L198" s="50"/>
      <c r="M198" s="450" t="s">
        <v>712</v>
      </c>
      <c r="N198" s="32"/>
      <c r="O198" s="32"/>
      <c r="P198" s="32"/>
      <c r="Q198" s="32"/>
      <c r="R198" s="79"/>
      <c r="S198" s="79"/>
      <c r="T198" s="79"/>
      <c r="U198" s="38"/>
      <c r="V198" s="38"/>
      <c r="W198" s="44"/>
      <c r="X198" s="450" t="s">
        <v>712</v>
      </c>
      <c r="Y198" s="32"/>
      <c r="Z198" s="32"/>
      <c r="AA198" s="32"/>
      <c r="AB198" s="32"/>
      <c r="AC198" s="79"/>
      <c r="AD198" s="79"/>
      <c r="AE198" s="79"/>
      <c r="AF198" s="38"/>
      <c r="AG198" s="38"/>
      <c r="AH198" s="44"/>
    </row>
    <row r="199" spans="1:34" s="391" customFormat="1" ht="17.649999999999999" customHeight="1" x14ac:dyDescent="0.25">
      <c r="A199" s="1269">
        <v>199</v>
      </c>
      <c r="B199" s="450" t="s">
        <v>712</v>
      </c>
      <c r="C199" s="32"/>
      <c r="D199" s="32"/>
      <c r="E199" s="32"/>
      <c r="F199" s="32"/>
      <c r="G199" s="79"/>
      <c r="H199" s="79"/>
      <c r="I199" s="79"/>
      <c r="J199" s="38"/>
      <c r="K199" s="38"/>
      <c r="L199" s="50"/>
      <c r="M199" s="450"/>
      <c r="N199" s="32"/>
      <c r="O199" s="32"/>
      <c r="P199" s="32"/>
      <c r="Q199" s="32"/>
      <c r="R199" s="79"/>
      <c r="S199" s="79"/>
      <c r="T199" s="79"/>
      <c r="U199" s="38"/>
      <c r="V199" s="38"/>
      <c r="W199" s="44"/>
      <c r="X199" s="450"/>
      <c r="Y199" s="32"/>
      <c r="Z199" s="32"/>
      <c r="AA199" s="32"/>
      <c r="AB199" s="32"/>
      <c r="AC199" s="79"/>
      <c r="AD199" s="79"/>
      <c r="AE199" s="79"/>
      <c r="AF199" s="38"/>
      <c r="AG199" s="38"/>
      <c r="AH199" s="44"/>
    </row>
    <row r="200" spans="1:34" s="391" customFormat="1" ht="17.649999999999999" customHeight="1" x14ac:dyDescent="0.25">
      <c r="A200" s="1269">
        <v>200</v>
      </c>
      <c r="B200" s="450"/>
      <c r="C200" s="32"/>
      <c r="D200" s="32"/>
      <c r="E200" s="32"/>
      <c r="F200" s="32"/>
      <c r="G200" s="79"/>
      <c r="H200" s="79"/>
      <c r="I200" s="79"/>
      <c r="J200" s="38"/>
      <c r="K200" s="38"/>
      <c r="L200" s="50"/>
      <c r="M200" s="450"/>
      <c r="N200" s="32"/>
      <c r="O200" s="32"/>
      <c r="P200" s="32"/>
      <c r="Q200" s="32"/>
      <c r="R200" s="79"/>
      <c r="S200" s="79"/>
      <c r="T200" s="79"/>
      <c r="U200" s="38"/>
      <c r="V200" s="38"/>
      <c r="W200" s="44"/>
      <c r="X200" s="450"/>
      <c r="Y200" s="32"/>
      <c r="Z200" s="32"/>
      <c r="AA200" s="32"/>
      <c r="AB200" s="32"/>
      <c r="AC200" s="79"/>
      <c r="AD200" s="79"/>
      <c r="AE200" s="79"/>
      <c r="AF200" s="38"/>
      <c r="AG200" s="38"/>
      <c r="AH200" s="44"/>
    </row>
    <row r="201" spans="1:34" s="391" customFormat="1" ht="17.649999999999999" customHeight="1" x14ac:dyDescent="0.25">
      <c r="A201" s="1269">
        <v>201</v>
      </c>
      <c r="B201" s="1468" t="s">
        <v>820</v>
      </c>
      <c r="C201" s="1468"/>
      <c r="D201" s="1468"/>
      <c r="E201" s="1468"/>
      <c r="F201" s="1468"/>
      <c r="G201" s="40">
        <f>((SUM(E150:E158))+(SUM(E164:E169))+(SUM(F176:F177))+(SUM(F180:F188))+(SUM(F191:F196)))-((SUM(P150:P158))+(SUM(P164:P169))+(SUM(Q176:Q177))+(SUM(Q180:Q188))+(SUM(Q191:Q196)))</f>
        <v>0</v>
      </c>
      <c r="H201" s="79"/>
      <c r="I201" s="79"/>
      <c r="J201" s="38"/>
      <c r="K201" s="38"/>
      <c r="L201" s="50"/>
      <c r="M201" s="1468" t="s">
        <v>724</v>
      </c>
      <c r="N201" s="1468"/>
      <c r="O201" s="1468"/>
      <c r="P201" s="1468"/>
      <c r="Q201" s="1468"/>
      <c r="R201" s="40">
        <f>((SUM(P150:P158))+(SUM(P164:P169))+(SUM(Q176:Q177))+(SUM(Q180:Q188))+(SUM(Q191:Q196)))-((SUM(AA150:AA158))+(SUM(AA164:AA169))+(SUM(AB176:AB177))+(SUM(AB180:AB188))+(SUM(AB191:AB196)))</f>
        <v>0</v>
      </c>
      <c r="S201" s="79"/>
      <c r="T201" s="79"/>
      <c r="U201" s="38"/>
      <c r="V201" s="38"/>
      <c r="W201" s="44"/>
      <c r="X201" s="450"/>
      <c r="Y201" s="32"/>
      <c r="Z201" s="32"/>
      <c r="AA201" s="32"/>
      <c r="AB201" s="32"/>
      <c r="AC201" s="79"/>
      <c r="AD201" s="79"/>
      <c r="AE201" s="79"/>
      <c r="AF201" s="38"/>
      <c r="AG201" s="38"/>
      <c r="AH201" s="44"/>
    </row>
    <row r="202" spans="1:34" s="391" customFormat="1" ht="21.6" customHeight="1" x14ac:dyDescent="0.25">
      <c r="A202" s="1269">
        <v>202</v>
      </c>
      <c r="B202" s="450"/>
      <c r="C202" s="32"/>
      <c r="D202" s="32"/>
      <c r="E202" s="32"/>
      <c r="F202" s="32"/>
      <c r="G202" s="79"/>
      <c r="H202" s="79"/>
      <c r="I202" s="79"/>
      <c r="J202" s="38"/>
      <c r="K202" s="38"/>
      <c r="L202" s="50"/>
      <c r="M202" s="450"/>
      <c r="N202" s="32"/>
      <c r="O202" s="32"/>
      <c r="P202" s="32"/>
      <c r="Q202" s="32"/>
      <c r="R202" s="79"/>
      <c r="S202" s="79"/>
      <c r="T202" s="79"/>
      <c r="U202" s="38"/>
      <c r="V202" s="38"/>
      <c r="W202" s="44"/>
      <c r="X202" s="450"/>
      <c r="Y202" s="32"/>
      <c r="Z202" s="32"/>
      <c r="AA202" s="32"/>
      <c r="AB202" s="32"/>
      <c r="AC202" s="79"/>
      <c r="AD202" s="79"/>
      <c r="AE202" s="79"/>
      <c r="AF202" s="38"/>
      <c r="AG202" s="38"/>
      <c r="AH202" s="44"/>
    </row>
    <row r="203" spans="1:34" ht="15.75" thickBot="1" x14ac:dyDescent="0.3">
      <c r="A203" s="1269">
        <v>203</v>
      </c>
      <c r="M203" s="152"/>
      <c r="N203" s="152"/>
      <c r="O203" s="152"/>
      <c r="P203" s="152"/>
      <c r="Q203" s="152"/>
      <c r="R203" s="152"/>
      <c r="S203" s="152"/>
      <c r="T203" s="152"/>
      <c r="U203" s="152"/>
      <c r="V203" s="152"/>
    </row>
    <row r="204" spans="1:34" s="142" customFormat="1" ht="27" customHeight="1" x14ac:dyDescent="0.25">
      <c r="A204" s="1269">
        <v>204</v>
      </c>
      <c r="B204" s="1545" t="s">
        <v>714</v>
      </c>
      <c r="C204" s="1546"/>
      <c r="D204" s="1546"/>
      <c r="E204" s="1546"/>
      <c r="F204" s="1546"/>
      <c r="G204" s="1546"/>
      <c r="H204" s="1547"/>
      <c r="L204" s="44"/>
      <c r="M204" s="1545" t="s">
        <v>714</v>
      </c>
      <c r="N204" s="1546"/>
      <c r="O204" s="1546"/>
      <c r="P204" s="1546"/>
      <c r="Q204" s="1546"/>
      <c r="R204" s="1546"/>
      <c r="S204" s="1547"/>
      <c r="T204" s="152"/>
      <c r="U204" s="152"/>
      <c r="V204" s="152"/>
      <c r="W204" s="44"/>
      <c r="X204" s="1545" t="s">
        <v>714</v>
      </c>
      <c r="Y204" s="1546"/>
      <c r="Z204" s="1546"/>
      <c r="AA204" s="1546"/>
      <c r="AB204" s="1546"/>
      <c r="AC204" s="1546"/>
      <c r="AD204" s="1547"/>
      <c r="AE204" s="195"/>
      <c r="AF204" s="195"/>
      <c r="AG204" s="195"/>
      <c r="AH204" s="44"/>
    </row>
    <row r="205" spans="1:34" s="142" customFormat="1" ht="60" x14ac:dyDescent="0.25">
      <c r="A205" s="1269">
        <v>205</v>
      </c>
      <c r="B205" s="1537" t="s">
        <v>10</v>
      </c>
      <c r="C205" s="1538"/>
      <c r="D205" s="17" t="s">
        <v>132</v>
      </c>
      <c r="E205" s="17" t="s">
        <v>133</v>
      </c>
      <c r="F205" s="17" t="s">
        <v>134</v>
      </c>
      <c r="G205" s="231" t="s">
        <v>135</v>
      </c>
      <c r="H205" s="1051" t="s">
        <v>905</v>
      </c>
      <c r="L205" s="44"/>
      <c r="M205" s="1537" t="s">
        <v>10</v>
      </c>
      <c r="N205" s="1538"/>
      <c r="O205" s="507" t="s">
        <v>132</v>
      </c>
      <c r="P205" s="507" t="s">
        <v>133</v>
      </c>
      <c r="Q205" s="507" t="s">
        <v>134</v>
      </c>
      <c r="R205" s="231" t="s">
        <v>135</v>
      </c>
      <c r="S205" s="1051" t="s">
        <v>905</v>
      </c>
      <c r="T205" s="152"/>
      <c r="U205" s="152"/>
      <c r="V205" s="152"/>
      <c r="W205" s="44"/>
      <c r="X205" s="1537" t="s">
        <v>10</v>
      </c>
      <c r="Y205" s="1538"/>
      <c r="Z205" s="507" t="s">
        <v>132</v>
      </c>
      <c r="AA205" s="507" t="s">
        <v>133</v>
      </c>
      <c r="AB205" s="507" t="s">
        <v>134</v>
      </c>
      <c r="AC205" s="231" t="s">
        <v>135</v>
      </c>
      <c r="AD205" s="1051" t="s">
        <v>905</v>
      </c>
      <c r="AE205" s="195"/>
      <c r="AF205" s="195"/>
      <c r="AG205" s="195"/>
      <c r="AH205" s="44"/>
    </row>
    <row r="206" spans="1:34" s="142" customFormat="1" x14ac:dyDescent="0.25">
      <c r="A206" s="1269">
        <v>206</v>
      </c>
      <c r="B206" s="1882"/>
      <c r="C206" s="1883"/>
      <c r="D206" s="1897"/>
      <c r="E206" s="1897"/>
      <c r="F206" s="1897"/>
      <c r="G206" s="1924"/>
      <c r="H206" s="1884"/>
      <c r="L206" s="44"/>
      <c r="M206" s="1882"/>
      <c r="N206" s="1883"/>
      <c r="O206" s="1897"/>
      <c r="P206" s="1897"/>
      <c r="Q206" s="1897"/>
      <c r="R206" s="1924"/>
      <c r="S206" s="1884"/>
      <c r="T206" s="152"/>
      <c r="U206" s="152"/>
      <c r="V206" s="152"/>
      <c r="W206" s="44"/>
      <c r="X206" s="1476"/>
      <c r="Y206" s="1477"/>
      <c r="Z206" s="1001"/>
      <c r="AA206" s="1001"/>
      <c r="AB206" s="1001"/>
      <c r="AC206" s="133"/>
      <c r="AD206" s="124"/>
      <c r="AE206" s="195"/>
      <c r="AF206" s="195"/>
      <c r="AG206" s="195"/>
      <c r="AH206" s="44"/>
    </row>
    <row r="207" spans="1:34" s="142" customFormat="1" x14ac:dyDescent="0.25">
      <c r="A207" s="1269">
        <v>207</v>
      </c>
      <c r="B207" s="1882"/>
      <c r="C207" s="1883"/>
      <c r="D207" s="1897"/>
      <c r="E207" s="1897"/>
      <c r="F207" s="1897"/>
      <c r="G207" s="1924"/>
      <c r="H207" s="1884"/>
      <c r="L207" s="44"/>
      <c r="M207" s="1882"/>
      <c r="N207" s="1883"/>
      <c r="O207" s="1897"/>
      <c r="P207" s="1897"/>
      <c r="Q207" s="1897"/>
      <c r="R207" s="1924"/>
      <c r="S207" s="1884"/>
      <c r="T207" s="152"/>
      <c r="U207" s="152"/>
      <c r="V207" s="152"/>
      <c r="W207" s="44"/>
      <c r="X207" s="1476"/>
      <c r="Y207" s="1477"/>
      <c r="Z207" s="1001"/>
      <c r="AA207" s="1001"/>
      <c r="AB207" s="1001"/>
      <c r="AC207" s="133"/>
      <c r="AD207" s="124"/>
      <c r="AE207" s="195"/>
      <c r="AF207" s="195"/>
      <c r="AG207" s="195"/>
      <c r="AH207" s="44"/>
    </row>
    <row r="208" spans="1:34" s="142" customFormat="1" x14ac:dyDescent="0.25">
      <c r="A208" s="1269">
        <v>208</v>
      </c>
      <c r="B208" s="1882"/>
      <c r="C208" s="1883"/>
      <c r="D208" s="1897"/>
      <c r="E208" s="1897"/>
      <c r="F208" s="1897"/>
      <c r="G208" s="1924"/>
      <c r="H208" s="1884"/>
      <c r="L208" s="44"/>
      <c r="M208" s="1882"/>
      <c r="N208" s="1883"/>
      <c r="O208" s="1897"/>
      <c r="P208" s="1897"/>
      <c r="Q208" s="1897"/>
      <c r="R208" s="1924"/>
      <c r="S208" s="1884"/>
      <c r="T208" s="152"/>
      <c r="U208" s="152"/>
      <c r="V208" s="152"/>
      <c r="W208" s="44"/>
      <c r="X208" s="1476"/>
      <c r="Y208" s="1477"/>
      <c r="Z208" s="1001"/>
      <c r="AA208" s="1001"/>
      <c r="AB208" s="1001"/>
      <c r="AC208" s="133"/>
      <c r="AD208" s="124"/>
      <c r="AE208" s="195"/>
      <c r="AF208" s="195"/>
      <c r="AG208" s="195"/>
      <c r="AH208" s="44"/>
    </row>
    <row r="209" spans="1:34" s="142" customFormat="1" x14ac:dyDescent="0.25">
      <c r="A209" s="1269">
        <v>209</v>
      </c>
      <c r="B209" s="1882"/>
      <c r="C209" s="1883"/>
      <c r="D209" s="1897"/>
      <c r="E209" s="1897"/>
      <c r="F209" s="1897"/>
      <c r="G209" s="1924"/>
      <c r="H209" s="1884"/>
      <c r="L209" s="44"/>
      <c r="M209" s="1882"/>
      <c r="N209" s="1883"/>
      <c r="O209" s="1897"/>
      <c r="P209" s="1897"/>
      <c r="Q209" s="1897"/>
      <c r="R209" s="1924"/>
      <c r="S209" s="1884"/>
      <c r="T209" s="152"/>
      <c r="U209" s="152"/>
      <c r="V209" s="152"/>
      <c r="W209" s="44"/>
      <c r="X209" s="1476"/>
      <c r="Y209" s="1477"/>
      <c r="Z209" s="1001"/>
      <c r="AA209" s="1001"/>
      <c r="AB209" s="1001"/>
      <c r="AC209" s="133"/>
      <c r="AD209" s="124"/>
      <c r="AE209" s="195"/>
      <c r="AF209" s="195"/>
      <c r="AG209" s="195"/>
      <c r="AH209" s="44"/>
    </row>
    <row r="210" spans="1:34" s="142" customFormat="1" ht="15.75" thickBot="1" x14ac:dyDescent="0.3">
      <c r="A210" s="1269">
        <v>210</v>
      </c>
      <c r="B210" s="1539" t="s">
        <v>1072</v>
      </c>
      <c r="C210" s="1540"/>
      <c r="D210" s="1242">
        <f>SUM(D206:D209)</f>
        <v>0</v>
      </c>
      <c r="E210" s="1242">
        <f t="shared" ref="E210:G210" si="112">SUM(E206:E209)</f>
        <v>0</v>
      </c>
      <c r="F210" s="1242">
        <f t="shared" si="112"/>
        <v>0</v>
      </c>
      <c r="G210" s="1248">
        <f t="shared" si="112"/>
        <v>0</v>
      </c>
      <c r="H210" s="1257">
        <f>SUM(H206:H209)</f>
        <v>0</v>
      </c>
      <c r="L210" s="44"/>
      <c r="M210" s="1539" t="s">
        <v>1072</v>
      </c>
      <c r="N210" s="1540"/>
      <c r="O210" s="1242">
        <f>SUM(O206:O209)</f>
        <v>0</v>
      </c>
      <c r="P210" s="1242">
        <f t="shared" ref="P210:R210" si="113">SUM(P206:P209)</f>
        <v>0</v>
      </c>
      <c r="Q210" s="1242">
        <f t="shared" si="113"/>
        <v>0</v>
      </c>
      <c r="R210" s="1248">
        <f t="shared" si="113"/>
        <v>0</v>
      </c>
      <c r="S210" s="1257">
        <f>SUM(S206:S209)</f>
        <v>0</v>
      </c>
      <c r="T210" s="152"/>
      <c r="U210" s="152"/>
      <c r="V210" s="152"/>
      <c r="W210" s="44"/>
      <c r="X210" s="1539" t="s">
        <v>1072</v>
      </c>
      <c r="Y210" s="1540"/>
      <c r="Z210" s="1242">
        <f>SUM(Z206:Z209)</f>
        <v>0</v>
      </c>
      <c r="AA210" s="1242">
        <f t="shared" ref="AA210:AC210" si="114">SUM(AA206:AA209)</f>
        <v>0</v>
      </c>
      <c r="AB210" s="1242">
        <f t="shared" si="114"/>
        <v>0</v>
      </c>
      <c r="AC210" s="1248">
        <f t="shared" si="114"/>
        <v>0</v>
      </c>
      <c r="AD210" s="1257">
        <f>SUM(AD206:AD209)</f>
        <v>0</v>
      </c>
      <c r="AE210" s="195"/>
      <c r="AF210" s="195"/>
      <c r="AG210" s="195"/>
      <c r="AH210" s="44"/>
    </row>
    <row r="211" spans="1:34" s="391" customFormat="1" ht="18" thickBot="1" x14ac:dyDescent="0.3">
      <c r="A211" s="1269">
        <v>211</v>
      </c>
      <c r="B211" s="450" t="s">
        <v>995</v>
      </c>
      <c r="C211" s="60"/>
      <c r="D211" s="400"/>
      <c r="E211" s="400"/>
      <c r="F211" s="400"/>
      <c r="G211" s="452"/>
      <c r="H211" s="1253" t="s">
        <v>1076</v>
      </c>
      <c r="L211" s="44"/>
      <c r="M211" s="450" t="s">
        <v>995</v>
      </c>
      <c r="N211" s="60"/>
      <c r="O211" s="400"/>
      <c r="P211" s="400"/>
      <c r="Q211" s="400"/>
      <c r="R211" s="452"/>
      <c r="S211" s="1253" t="s">
        <v>1076</v>
      </c>
      <c r="W211" s="44"/>
      <c r="X211" s="450" t="s">
        <v>995</v>
      </c>
      <c r="Y211" s="60"/>
      <c r="Z211" s="400"/>
      <c r="AA211" s="400"/>
      <c r="AB211" s="400"/>
      <c r="AC211" s="400"/>
      <c r="AD211" s="1254"/>
      <c r="AH211" s="44"/>
    </row>
    <row r="212" spans="1:34" s="204" customFormat="1" ht="30.6" customHeight="1" x14ac:dyDescent="0.25">
      <c r="A212" s="1269">
        <v>212</v>
      </c>
      <c r="B212" s="1544" t="s">
        <v>1154</v>
      </c>
      <c r="C212" s="1544"/>
      <c r="D212" s="1544"/>
      <c r="E212" s="1544"/>
      <c r="F212" s="1544"/>
      <c r="G212" s="1544"/>
      <c r="L212" s="44"/>
      <c r="M212" s="1544" t="s">
        <v>1154</v>
      </c>
      <c r="N212" s="1544"/>
      <c r="O212" s="1544"/>
      <c r="P212" s="1544"/>
      <c r="Q212" s="1544"/>
      <c r="R212" s="1544"/>
      <c r="S212" s="391"/>
      <c r="W212" s="44"/>
      <c r="X212" s="1544" t="s">
        <v>1154</v>
      </c>
      <c r="Y212" s="1544"/>
      <c r="Z212" s="1544"/>
      <c r="AA212" s="1544"/>
      <c r="AB212" s="1544"/>
      <c r="AC212" s="1544"/>
      <c r="AD212" s="391"/>
      <c r="AH212" s="44"/>
    </row>
    <row r="213" spans="1:34" s="391" customFormat="1" ht="15" customHeight="1" x14ac:dyDescent="0.25">
      <c r="A213" s="1269">
        <v>213</v>
      </c>
      <c r="B213" s="451"/>
      <c r="C213" s="451"/>
      <c r="D213" s="451"/>
      <c r="E213" s="451"/>
      <c r="F213" s="451"/>
      <c r="G213" s="451"/>
      <c r="L213" s="44"/>
      <c r="M213" s="451"/>
      <c r="N213" s="451"/>
      <c r="O213" s="451"/>
      <c r="P213" s="451"/>
      <c r="Q213" s="451"/>
      <c r="R213" s="451"/>
      <c r="W213" s="44"/>
      <c r="X213" s="451"/>
      <c r="Y213" s="451"/>
      <c r="Z213" s="451"/>
      <c r="AA213" s="451"/>
      <c r="AB213" s="451"/>
      <c r="AC213" s="451"/>
      <c r="AH213" s="44"/>
    </row>
    <row r="214" spans="1:34" s="142" customFormat="1" ht="15.75" thickBot="1" x14ac:dyDescent="0.3">
      <c r="A214" s="1269">
        <v>214</v>
      </c>
      <c r="L214" s="44"/>
      <c r="M214" s="152"/>
      <c r="N214" s="152"/>
      <c r="O214" s="152"/>
      <c r="P214" s="152"/>
      <c r="Q214" s="152"/>
      <c r="R214" s="152"/>
      <c r="S214" s="152"/>
      <c r="T214" s="152"/>
      <c r="U214" s="152"/>
      <c r="V214" s="152"/>
      <c r="W214" s="44"/>
      <c r="X214" s="195"/>
      <c r="Y214" s="195"/>
      <c r="Z214" s="195"/>
      <c r="AA214" s="195"/>
      <c r="AB214" s="195"/>
      <c r="AC214" s="195"/>
      <c r="AD214" s="195"/>
      <c r="AE214" s="195"/>
      <c r="AF214" s="195"/>
      <c r="AG214" s="195"/>
      <c r="AH214" s="44"/>
    </row>
    <row r="215" spans="1:34" ht="21" x14ac:dyDescent="0.3">
      <c r="A215" s="1269">
        <v>215</v>
      </c>
      <c r="B215" s="1541" t="s">
        <v>232</v>
      </c>
      <c r="C215" s="1542"/>
      <c r="D215" s="1542"/>
      <c r="E215" s="1542"/>
      <c r="F215" s="1542"/>
      <c r="G215" s="1542"/>
      <c r="H215" s="1543"/>
      <c r="M215" s="1541" t="s">
        <v>232</v>
      </c>
      <c r="N215" s="1542"/>
      <c r="O215" s="1542"/>
      <c r="P215" s="1542"/>
      <c r="Q215" s="1542"/>
      <c r="R215" s="1542"/>
      <c r="S215" s="1543"/>
      <c r="T215" s="152"/>
      <c r="U215" s="152"/>
      <c r="V215" s="152"/>
      <c r="X215" s="1541" t="s">
        <v>232</v>
      </c>
      <c r="Y215" s="1542"/>
      <c r="Z215" s="1542"/>
      <c r="AA215" s="1542"/>
      <c r="AB215" s="1542"/>
      <c r="AC215" s="1542"/>
      <c r="AD215" s="1543"/>
    </row>
    <row r="216" spans="1:34" s="139" customFormat="1" ht="18.75" x14ac:dyDescent="0.3">
      <c r="A216" s="1269">
        <v>216</v>
      </c>
      <c r="B216" s="156"/>
      <c r="C216" s="157"/>
      <c r="D216" s="158"/>
      <c r="E216" s="1523" t="s">
        <v>116</v>
      </c>
      <c r="F216" s="1524"/>
      <c r="G216" s="1525" t="s">
        <v>231</v>
      </c>
      <c r="H216" s="1524"/>
      <c r="L216" s="44"/>
      <c r="M216" s="156"/>
      <c r="N216" s="157"/>
      <c r="O216" s="158"/>
      <c r="P216" s="1523" t="s">
        <v>116</v>
      </c>
      <c r="Q216" s="1524"/>
      <c r="R216" s="1525" t="s">
        <v>231</v>
      </c>
      <c r="S216" s="1524"/>
      <c r="T216" s="152"/>
      <c r="U216" s="152"/>
      <c r="V216" s="152"/>
      <c r="W216" s="44"/>
      <c r="X216" s="156"/>
      <c r="Y216" s="157"/>
      <c r="Z216" s="158"/>
      <c r="AA216" s="1523" t="s">
        <v>116</v>
      </c>
      <c r="AB216" s="1524"/>
      <c r="AC216" s="1525" t="s">
        <v>231</v>
      </c>
      <c r="AD216" s="1524"/>
      <c r="AE216" s="195"/>
      <c r="AF216" s="195"/>
      <c r="AG216" s="195"/>
      <c r="AH216" s="44"/>
    </row>
    <row r="217" spans="1:34" ht="30.6" customHeight="1" x14ac:dyDescent="0.25">
      <c r="A217" s="1269">
        <v>217</v>
      </c>
      <c r="B217" s="1526" t="s">
        <v>227</v>
      </c>
      <c r="C217" s="1527"/>
      <c r="D217" s="1528"/>
      <c r="E217" s="17" t="s">
        <v>122</v>
      </c>
      <c r="F217" s="22" t="s">
        <v>130</v>
      </c>
      <c r="G217" s="17" t="s">
        <v>122</v>
      </c>
      <c r="H217" s="22" t="s">
        <v>130</v>
      </c>
      <c r="M217" s="1526" t="s">
        <v>227</v>
      </c>
      <c r="N217" s="1527"/>
      <c r="O217" s="1528"/>
      <c r="P217" s="212" t="s">
        <v>122</v>
      </c>
      <c r="Q217" s="213" t="s">
        <v>130</v>
      </c>
      <c r="R217" s="212" t="s">
        <v>122</v>
      </c>
      <c r="S217" s="213" t="s">
        <v>130</v>
      </c>
      <c r="T217" s="152"/>
      <c r="U217" s="152"/>
      <c r="V217" s="152"/>
      <c r="X217" s="1526" t="s">
        <v>227</v>
      </c>
      <c r="Y217" s="1527"/>
      <c r="Z217" s="1528"/>
      <c r="AA217" s="212" t="s">
        <v>122</v>
      </c>
      <c r="AB217" s="213" t="s">
        <v>130</v>
      </c>
      <c r="AC217" s="212" t="s">
        <v>122</v>
      </c>
      <c r="AD217" s="213" t="s">
        <v>130</v>
      </c>
    </row>
    <row r="218" spans="1:34" x14ac:dyDescent="0.25">
      <c r="A218" s="1269">
        <v>218</v>
      </c>
      <c r="B218" s="1882"/>
      <c r="C218" s="1883"/>
      <c r="D218" s="1883"/>
      <c r="E218" s="1897"/>
      <c r="F218" s="1884"/>
      <c r="G218" s="1925"/>
      <c r="H218" s="1884"/>
      <c r="M218" s="1882"/>
      <c r="N218" s="1883"/>
      <c r="O218" s="1883"/>
      <c r="P218" s="1897"/>
      <c r="Q218" s="1884"/>
      <c r="R218" s="1925"/>
      <c r="S218" s="1884"/>
      <c r="T218" s="152"/>
      <c r="U218" s="152"/>
      <c r="V218" s="152"/>
      <c r="X218" s="1476"/>
      <c r="Y218" s="1477"/>
      <c r="Z218" s="1477"/>
      <c r="AA218" s="581"/>
      <c r="AB218" s="124"/>
      <c r="AC218" s="580"/>
      <c r="AD218" s="124"/>
    </row>
    <row r="219" spans="1:34" s="152" customFormat="1" x14ac:dyDescent="0.25">
      <c r="A219" s="1269">
        <v>219</v>
      </c>
      <c r="B219" s="1915"/>
      <c r="C219" s="1926"/>
      <c r="D219" s="1916"/>
      <c r="E219" s="1897"/>
      <c r="F219" s="1884"/>
      <c r="G219" s="1925"/>
      <c r="H219" s="1884"/>
      <c r="L219" s="44"/>
      <c r="M219" s="1915"/>
      <c r="N219" s="1926"/>
      <c r="O219" s="1916"/>
      <c r="P219" s="1897"/>
      <c r="Q219" s="1884"/>
      <c r="R219" s="1925"/>
      <c r="S219" s="1884"/>
      <c r="W219" s="44"/>
      <c r="X219" s="1478"/>
      <c r="Y219" s="1480"/>
      <c r="Z219" s="1481"/>
      <c r="AA219" s="123"/>
      <c r="AB219" s="124"/>
      <c r="AC219" s="147"/>
      <c r="AD219" s="124"/>
      <c r="AE219" s="195"/>
      <c r="AF219" s="195"/>
      <c r="AG219" s="195"/>
      <c r="AH219" s="44"/>
    </row>
    <row r="220" spans="1:34" s="152" customFormat="1" x14ac:dyDescent="0.25">
      <c r="A220" s="1269">
        <v>220</v>
      </c>
      <c r="B220" s="1915"/>
      <c r="C220" s="1926"/>
      <c r="D220" s="1916"/>
      <c r="E220" s="1897"/>
      <c r="F220" s="1884"/>
      <c r="G220" s="1925"/>
      <c r="H220" s="1884"/>
      <c r="L220" s="44"/>
      <c r="M220" s="1915"/>
      <c r="N220" s="1926"/>
      <c r="O220" s="1916"/>
      <c r="P220" s="1897"/>
      <c r="Q220" s="1884"/>
      <c r="R220" s="1925"/>
      <c r="S220" s="1884"/>
      <c r="W220" s="44"/>
      <c r="X220" s="1478"/>
      <c r="Y220" s="1480"/>
      <c r="Z220" s="1481"/>
      <c r="AA220" s="123"/>
      <c r="AB220" s="124"/>
      <c r="AC220" s="147"/>
      <c r="AD220" s="124"/>
      <c r="AE220" s="195"/>
      <c r="AF220" s="195"/>
      <c r="AG220" s="195"/>
      <c r="AH220" s="44"/>
    </row>
    <row r="221" spans="1:34" s="152" customFormat="1" x14ac:dyDescent="0.25">
      <c r="A221" s="1269">
        <v>221</v>
      </c>
      <c r="B221" s="1915"/>
      <c r="C221" s="1926"/>
      <c r="D221" s="1916"/>
      <c r="E221" s="1897"/>
      <c r="F221" s="1884"/>
      <c r="G221" s="1925"/>
      <c r="H221" s="1884"/>
      <c r="L221" s="44"/>
      <c r="M221" s="1915"/>
      <c r="N221" s="1926"/>
      <c r="O221" s="1916"/>
      <c r="P221" s="1897"/>
      <c r="Q221" s="1884"/>
      <c r="R221" s="1925"/>
      <c r="S221" s="1884"/>
      <c r="W221" s="44"/>
      <c r="X221" s="1478"/>
      <c r="Y221" s="1480"/>
      <c r="Z221" s="1481"/>
      <c r="AA221" s="123"/>
      <c r="AB221" s="124"/>
      <c r="AC221" s="147"/>
      <c r="AD221" s="124"/>
      <c r="AE221" s="195"/>
      <c r="AF221" s="195"/>
      <c r="AG221" s="195"/>
      <c r="AH221" s="44"/>
    </row>
    <row r="222" spans="1:34" s="152" customFormat="1" x14ac:dyDescent="0.25">
      <c r="A222" s="1269">
        <v>222</v>
      </c>
      <c r="B222" s="1529" t="s">
        <v>1073</v>
      </c>
      <c r="C222" s="1530"/>
      <c r="D222" s="1531"/>
      <c r="E222" s="160">
        <f>SUM(E218:E221)</f>
        <v>0</v>
      </c>
      <c r="F222" s="1230">
        <f t="shared" ref="F222:H222" si="115">SUM(F218:F221)</f>
        <v>0</v>
      </c>
      <c r="G222" s="1249">
        <f t="shared" si="115"/>
        <v>0</v>
      </c>
      <c r="H222" s="1230">
        <f t="shared" si="115"/>
        <v>0</v>
      </c>
      <c r="L222" s="44"/>
      <c r="M222" s="1529" t="s">
        <v>1073</v>
      </c>
      <c r="N222" s="1530"/>
      <c r="O222" s="1531"/>
      <c r="P222" s="160">
        <f>SUM(P218:P221)</f>
        <v>0</v>
      </c>
      <c r="Q222" s="1230">
        <f t="shared" ref="Q222:S222" si="116">SUM(Q218:Q221)</f>
        <v>0</v>
      </c>
      <c r="R222" s="1249">
        <f t="shared" si="116"/>
        <v>0</v>
      </c>
      <c r="S222" s="1230">
        <f t="shared" si="116"/>
        <v>0</v>
      </c>
      <c r="W222" s="44"/>
      <c r="X222" s="1529" t="s">
        <v>1073</v>
      </c>
      <c r="Y222" s="1530"/>
      <c r="Z222" s="1531"/>
      <c r="AA222" s="160">
        <f>SUM(AA218:AA221)</f>
        <v>0</v>
      </c>
      <c r="AB222" s="1230">
        <f t="shared" ref="AB222:AD222" si="117">SUM(AB218:AB221)</f>
        <v>0</v>
      </c>
      <c r="AC222" s="1249">
        <f t="shared" si="117"/>
        <v>0</v>
      </c>
      <c r="AD222" s="1230">
        <f t="shared" si="117"/>
        <v>0</v>
      </c>
      <c r="AE222" s="195"/>
      <c r="AF222" s="195"/>
      <c r="AG222" s="195"/>
      <c r="AH222" s="44"/>
    </row>
    <row r="223" spans="1:34" s="204" customFormat="1" ht="22.15" customHeight="1" x14ac:dyDescent="0.25">
      <c r="A223" s="1269">
        <v>223</v>
      </c>
      <c r="B223" s="1534" t="s">
        <v>228</v>
      </c>
      <c r="C223" s="1535"/>
      <c r="D223" s="1536"/>
      <c r="E223" s="7"/>
      <c r="F223" s="27"/>
      <c r="G223" s="217"/>
      <c r="H223" s="27"/>
      <c r="L223" s="44"/>
      <c r="M223" s="1534" t="s">
        <v>228</v>
      </c>
      <c r="N223" s="1535"/>
      <c r="O223" s="1536"/>
      <c r="P223" s="7"/>
      <c r="Q223" s="27"/>
      <c r="R223" s="217"/>
      <c r="S223" s="27"/>
      <c r="W223" s="44"/>
      <c r="X223" s="1534" t="s">
        <v>228</v>
      </c>
      <c r="Y223" s="1535"/>
      <c r="Z223" s="1536"/>
      <c r="AA223" s="7"/>
      <c r="AB223" s="27"/>
      <c r="AC223" s="217"/>
      <c r="AD223" s="27"/>
      <c r="AH223" s="44"/>
    </row>
    <row r="224" spans="1:34" s="204" customFormat="1" x14ac:dyDescent="0.25">
      <c r="A224" s="1269">
        <v>224</v>
      </c>
      <c r="B224" s="1927"/>
      <c r="C224" s="1928"/>
      <c r="D224" s="1929"/>
      <c r="E224" s="1897"/>
      <c r="F224" s="1884"/>
      <c r="G224" s="1925"/>
      <c r="H224" s="1884"/>
      <c r="L224" s="44"/>
      <c r="M224" s="1927"/>
      <c r="N224" s="1928"/>
      <c r="O224" s="1929"/>
      <c r="P224" s="1897"/>
      <c r="Q224" s="1884"/>
      <c r="R224" s="1925"/>
      <c r="S224" s="1884"/>
      <c r="W224" s="44"/>
      <c r="X224" s="214"/>
      <c r="Y224" s="215"/>
      <c r="Z224" s="216"/>
      <c r="AA224" s="123"/>
      <c r="AB224" s="124"/>
      <c r="AC224" s="147"/>
      <c r="AD224" s="124"/>
      <c r="AH224" s="44"/>
    </row>
    <row r="225" spans="1:34" s="204" customFormat="1" x14ac:dyDescent="0.25">
      <c r="A225" s="1269">
        <v>225</v>
      </c>
      <c r="B225" s="1927"/>
      <c r="C225" s="1928"/>
      <c r="D225" s="1929"/>
      <c r="E225" s="1897"/>
      <c r="F225" s="1884"/>
      <c r="G225" s="1925"/>
      <c r="H225" s="1884"/>
      <c r="L225" s="44"/>
      <c r="M225" s="1927"/>
      <c r="N225" s="1928"/>
      <c r="O225" s="1929"/>
      <c r="P225" s="1897"/>
      <c r="Q225" s="1884"/>
      <c r="R225" s="1925"/>
      <c r="S225" s="1884"/>
      <c r="W225" s="44"/>
      <c r="X225" s="214"/>
      <c r="Y225" s="215"/>
      <c r="Z225" s="216"/>
      <c r="AA225" s="123"/>
      <c r="AB225" s="124"/>
      <c r="AC225" s="147"/>
      <c r="AD225" s="124"/>
      <c r="AH225" s="44"/>
    </row>
    <row r="226" spans="1:34" s="204" customFormat="1" x14ac:dyDescent="0.25">
      <c r="A226" s="1269">
        <v>226</v>
      </c>
      <c r="B226" s="1927"/>
      <c r="C226" s="1928"/>
      <c r="D226" s="1929"/>
      <c r="E226" s="1897"/>
      <c r="F226" s="1884"/>
      <c r="G226" s="1925"/>
      <c r="H226" s="1884"/>
      <c r="L226" s="44"/>
      <c r="M226" s="1927"/>
      <c r="N226" s="1928"/>
      <c r="O226" s="1929"/>
      <c r="P226" s="1897"/>
      <c r="Q226" s="1884"/>
      <c r="R226" s="1925"/>
      <c r="S226" s="1884"/>
      <c r="W226" s="44"/>
      <c r="X226" s="214"/>
      <c r="Y226" s="215"/>
      <c r="Z226" s="216"/>
      <c r="AA226" s="123"/>
      <c r="AB226" s="124"/>
      <c r="AC226" s="147"/>
      <c r="AD226" s="124"/>
      <c r="AH226" s="44"/>
    </row>
    <row r="227" spans="1:34" s="204" customFormat="1" x14ac:dyDescent="0.25">
      <c r="A227" s="1269">
        <v>227</v>
      </c>
      <c r="B227" s="1927"/>
      <c r="C227" s="1928"/>
      <c r="D227" s="1929"/>
      <c r="E227" s="1897"/>
      <c r="F227" s="1884"/>
      <c r="G227" s="1925"/>
      <c r="H227" s="1884"/>
      <c r="L227" s="44"/>
      <c r="M227" s="1927"/>
      <c r="N227" s="1928"/>
      <c r="O227" s="1929"/>
      <c r="P227" s="1897"/>
      <c r="Q227" s="1884"/>
      <c r="R227" s="1925"/>
      <c r="S227" s="1884"/>
      <c r="W227" s="44"/>
      <c r="X227" s="214"/>
      <c r="Y227" s="215"/>
      <c r="Z227" s="216"/>
      <c r="AA227" s="123"/>
      <c r="AB227" s="124"/>
      <c r="AC227" s="147"/>
      <c r="AD227" s="124"/>
      <c r="AH227" s="44"/>
    </row>
    <row r="228" spans="1:34" s="204" customFormat="1" x14ac:dyDescent="0.25">
      <c r="A228" s="1269">
        <v>228</v>
      </c>
      <c r="B228" s="218"/>
      <c r="C228" s="219"/>
      <c r="D228" s="220" t="s">
        <v>229</v>
      </c>
      <c r="E228" s="221">
        <f>SUM(E224:E227)</f>
        <v>0</v>
      </c>
      <c r="F228" s="98">
        <f t="shared" ref="F228:H228" si="118">SUM(F224:F227)</f>
        <v>0</v>
      </c>
      <c r="G228" s="222">
        <f t="shared" si="118"/>
        <v>0</v>
      </c>
      <c r="H228" s="98">
        <f t="shared" si="118"/>
        <v>0</v>
      </c>
      <c r="L228" s="44"/>
      <c r="M228" s="218"/>
      <c r="N228" s="219"/>
      <c r="O228" s="220" t="s">
        <v>229</v>
      </c>
      <c r="P228" s="221">
        <f>SUM(P224:P227)</f>
        <v>0</v>
      </c>
      <c r="Q228" s="98">
        <f t="shared" ref="Q228" si="119">SUM(Q224:Q227)</f>
        <v>0</v>
      </c>
      <c r="R228" s="222">
        <f t="shared" ref="R228" si="120">SUM(R224:R227)</f>
        <v>0</v>
      </c>
      <c r="S228" s="98">
        <f t="shared" ref="S228" si="121">SUM(S224:S227)</f>
        <v>0</v>
      </c>
      <c r="W228" s="44"/>
      <c r="X228" s="218"/>
      <c r="Y228" s="219"/>
      <c r="Z228" s="220" t="s">
        <v>229</v>
      </c>
      <c r="AA228" s="221">
        <f>SUM(AA224:AA227)</f>
        <v>0</v>
      </c>
      <c r="AB228" s="98">
        <f t="shared" ref="AB228" si="122">SUM(AB224:AB227)</f>
        <v>0</v>
      </c>
      <c r="AC228" s="222">
        <f t="shared" ref="AC228" si="123">SUM(AC224:AC227)</f>
        <v>0</v>
      </c>
      <c r="AD228" s="98">
        <f t="shared" ref="AD228" si="124">SUM(AD224:AD227)</f>
        <v>0</v>
      </c>
      <c r="AH228" s="44"/>
    </row>
    <row r="229" spans="1:34" ht="23.45" customHeight="1" x14ac:dyDescent="0.25">
      <c r="A229" s="1269">
        <v>229</v>
      </c>
      <c r="B229" s="1532" t="s">
        <v>233</v>
      </c>
      <c r="C229" s="1533"/>
      <c r="D229" s="1533"/>
      <c r="E229" s="7"/>
      <c r="F229" s="27"/>
      <c r="G229" s="217"/>
      <c r="H229" s="27"/>
      <c r="M229" s="1532" t="s">
        <v>233</v>
      </c>
      <c r="N229" s="1533"/>
      <c r="O229" s="1533"/>
      <c r="P229" s="7"/>
      <c r="Q229" s="27"/>
      <c r="R229" s="217"/>
      <c r="S229" s="27"/>
      <c r="T229" s="152"/>
      <c r="U229" s="152"/>
      <c r="V229" s="152"/>
      <c r="X229" s="1532" t="s">
        <v>233</v>
      </c>
      <c r="Y229" s="1533"/>
      <c r="Z229" s="1533"/>
      <c r="AA229" s="7"/>
      <c r="AB229" s="27"/>
      <c r="AC229" s="217"/>
      <c r="AD229" s="27"/>
    </row>
    <row r="230" spans="1:34" x14ac:dyDescent="0.25">
      <c r="A230" s="1269">
        <v>230</v>
      </c>
      <c r="B230" s="1882"/>
      <c r="C230" s="1883"/>
      <c r="D230" s="1883"/>
      <c r="E230" s="1897"/>
      <c r="F230" s="1884"/>
      <c r="G230" s="1925"/>
      <c r="H230" s="1884"/>
      <c r="M230" s="1882"/>
      <c r="N230" s="1883"/>
      <c r="O230" s="1883"/>
      <c r="P230" s="1897"/>
      <c r="Q230" s="1884"/>
      <c r="R230" s="1925"/>
      <c r="S230" s="1884"/>
      <c r="T230" s="152"/>
      <c r="U230" s="152"/>
      <c r="V230" s="152"/>
      <c r="X230" s="1476"/>
      <c r="Y230" s="1477"/>
      <c r="Z230" s="1477"/>
      <c r="AA230" s="581"/>
      <c r="AB230" s="124"/>
      <c r="AC230" s="147"/>
      <c r="AD230" s="124"/>
    </row>
    <row r="231" spans="1:34" x14ac:dyDescent="0.25">
      <c r="A231" s="1269">
        <v>231</v>
      </c>
      <c r="B231" s="1882"/>
      <c r="C231" s="1883"/>
      <c r="D231" s="1883"/>
      <c r="E231" s="1897"/>
      <c r="F231" s="1884"/>
      <c r="G231" s="1925"/>
      <c r="H231" s="1884"/>
      <c r="M231" s="1882"/>
      <c r="N231" s="1883"/>
      <c r="O231" s="1883"/>
      <c r="P231" s="1897"/>
      <c r="Q231" s="1884"/>
      <c r="R231" s="1925"/>
      <c r="S231" s="1884"/>
      <c r="T231" s="152"/>
      <c r="U231" s="152"/>
      <c r="V231" s="152"/>
      <c r="X231" s="1476"/>
      <c r="Y231" s="1477"/>
      <c r="Z231" s="1477"/>
      <c r="AA231" s="123"/>
      <c r="AB231" s="124"/>
      <c r="AC231" s="147"/>
      <c r="AD231" s="124"/>
    </row>
    <row r="232" spans="1:34" x14ac:dyDescent="0.25">
      <c r="A232" s="1269">
        <v>232</v>
      </c>
      <c r="B232" s="1882"/>
      <c r="C232" s="1883"/>
      <c r="D232" s="1883"/>
      <c r="E232" s="1897"/>
      <c r="F232" s="1884"/>
      <c r="G232" s="1925"/>
      <c r="H232" s="1884"/>
      <c r="M232" s="1882"/>
      <c r="N232" s="1883"/>
      <c r="O232" s="1883"/>
      <c r="P232" s="1897"/>
      <c r="Q232" s="1884"/>
      <c r="R232" s="1925"/>
      <c r="S232" s="1884"/>
      <c r="T232" s="152"/>
      <c r="U232" s="152"/>
      <c r="V232" s="152"/>
      <c r="X232" s="1476"/>
      <c r="Y232" s="1477"/>
      <c r="Z232" s="1477"/>
      <c r="AA232" s="123"/>
      <c r="AB232" s="124"/>
      <c r="AC232" s="147"/>
      <c r="AD232" s="124"/>
    </row>
    <row r="233" spans="1:34" x14ac:dyDescent="0.25">
      <c r="A233" s="1269">
        <v>233</v>
      </c>
      <c r="B233" s="1882"/>
      <c r="C233" s="1883"/>
      <c r="D233" s="1883"/>
      <c r="E233" s="1897"/>
      <c r="F233" s="1884"/>
      <c r="G233" s="1925"/>
      <c r="H233" s="1884"/>
      <c r="M233" s="1882"/>
      <c r="N233" s="1883"/>
      <c r="O233" s="1883"/>
      <c r="P233" s="1897"/>
      <c r="Q233" s="1884"/>
      <c r="R233" s="1925"/>
      <c r="S233" s="1884"/>
      <c r="T233" s="152"/>
      <c r="U233" s="152"/>
      <c r="V233" s="152"/>
      <c r="X233" s="1476"/>
      <c r="Y233" s="1477"/>
      <c r="Z233" s="1477"/>
      <c r="AA233" s="123"/>
      <c r="AB233" s="124"/>
      <c r="AC233" s="147"/>
      <c r="AD233" s="124"/>
    </row>
    <row r="234" spans="1:34" x14ac:dyDescent="0.25">
      <c r="A234" s="1269">
        <v>234</v>
      </c>
      <c r="B234" s="1482" t="s">
        <v>230</v>
      </c>
      <c r="C234" s="1483"/>
      <c r="D234" s="1483"/>
      <c r="E234" s="223">
        <f>SUM(E230:E233)</f>
        <v>0</v>
      </c>
      <c r="F234" s="224">
        <f t="shared" ref="F234:H234" si="125">SUM(F230:F233)</f>
        <v>0</v>
      </c>
      <c r="G234" s="225">
        <f t="shared" si="125"/>
        <v>0</v>
      </c>
      <c r="H234" s="224">
        <f t="shared" si="125"/>
        <v>0</v>
      </c>
      <c r="M234" s="1482" t="s">
        <v>230</v>
      </c>
      <c r="N234" s="1483"/>
      <c r="O234" s="1483"/>
      <c r="P234" s="223">
        <f>SUM(P230:P233)</f>
        <v>0</v>
      </c>
      <c r="Q234" s="224">
        <f t="shared" ref="Q234" si="126">SUM(Q230:Q233)</f>
        <v>0</v>
      </c>
      <c r="R234" s="225">
        <f t="shared" ref="R234" si="127">SUM(R230:R233)</f>
        <v>0</v>
      </c>
      <c r="S234" s="224">
        <f t="shared" ref="S234" si="128">SUM(S230:S233)</f>
        <v>0</v>
      </c>
      <c r="T234" s="152"/>
      <c r="U234" s="152"/>
      <c r="V234" s="152"/>
      <c r="X234" s="1482" t="s">
        <v>230</v>
      </c>
      <c r="Y234" s="1483"/>
      <c r="Z234" s="1483"/>
      <c r="AA234" s="223">
        <f>SUM(AA230:AA233)</f>
        <v>0</v>
      </c>
      <c r="AB234" s="224">
        <f t="shared" ref="AB234" si="129">SUM(AB230:AB233)</f>
        <v>0</v>
      </c>
      <c r="AC234" s="225">
        <f t="shared" ref="AC234" si="130">SUM(AC230:AC233)</f>
        <v>0</v>
      </c>
      <c r="AD234" s="224">
        <f t="shared" ref="AD234" si="131">SUM(AD230:AD233)</f>
        <v>0</v>
      </c>
    </row>
    <row r="235" spans="1:34" s="204" customFormat="1" x14ac:dyDescent="0.25">
      <c r="A235" s="1269">
        <v>235</v>
      </c>
      <c r="B235" s="1521" t="s">
        <v>1060</v>
      </c>
      <c r="C235" s="1522"/>
      <c r="D235" s="1522"/>
      <c r="E235" s="161">
        <f>E228+E234</f>
        <v>0</v>
      </c>
      <c r="F235" s="1233">
        <f t="shared" ref="F235:H235" si="132">F228+F234</f>
        <v>0</v>
      </c>
      <c r="G235" s="1250">
        <f t="shared" si="132"/>
        <v>0</v>
      </c>
      <c r="H235" s="1233">
        <f t="shared" si="132"/>
        <v>0</v>
      </c>
      <c r="L235" s="44"/>
      <c r="M235" s="1521" t="s">
        <v>1060</v>
      </c>
      <c r="N235" s="1522"/>
      <c r="O235" s="1522"/>
      <c r="P235" s="161">
        <f>P228+P234</f>
        <v>0</v>
      </c>
      <c r="Q235" s="1233">
        <f t="shared" ref="Q235" si="133">Q228+Q234</f>
        <v>0</v>
      </c>
      <c r="R235" s="1250">
        <f t="shared" ref="R235" si="134">R228+R234</f>
        <v>0</v>
      </c>
      <c r="S235" s="1233">
        <f t="shared" ref="S235" si="135">S228+S234</f>
        <v>0</v>
      </c>
      <c r="W235" s="44"/>
      <c r="X235" s="1521" t="s">
        <v>1060</v>
      </c>
      <c r="Y235" s="1522"/>
      <c r="Z235" s="1522"/>
      <c r="AA235" s="161">
        <f>AA228+AA234</f>
        <v>0</v>
      </c>
      <c r="AB235" s="1233">
        <f t="shared" ref="AB235" si="136">AB228+AB234</f>
        <v>0</v>
      </c>
      <c r="AC235" s="1250">
        <f t="shared" ref="AC235" si="137">AC228+AC234</f>
        <v>0</v>
      </c>
      <c r="AD235" s="1233">
        <f t="shared" ref="AD235" si="138">AD228+AD234</f>
        <v>0</v>
      </c>
      <c r="AH235" s="44"/>
    </row>
    <row r="236" spans="1:34" ht="32.450000000000003" customHeight="1" thickBot="1" x14ac:dyDescent="0.3">
      <c r="A236" s="1269">
        <v>236</v>
      </c>
      <c r="B236" s="1517" t="s">
        <v>131</v>
      </c>
      <c r="C236" s="1518"/>
      <c r="D236" s="1518"/>
      <c r="E236" s="1518"/>
      <c r="F236" s="1518"/>
      <c r="G236" s="1518"/>
      <c r="H236" s="1519"/>
      <c r="M236" s="1517" t="s">
        <v>131</v>
      </c>
      <c r="N236" s="1518"/>
      <c r="O236" s="1518"/>
      <c r="P236" s="1518"/>
      <c r="Q236" s="1518"/>
      <c r="R236" s="1518"/>
      <c r="S236" s="1519"/>
      <c r="T236" s="152"/>
      <c r="U236" s="152"/>
      <c r="V236" s="152"/>
      <c r="X236" s="1517" t="s">
        <v>131</v>
      </c>
      <c r="Y236" s="1518"/>
      <c r="Z236" s="1518"/>
      <c r="AA236" s="1518"/>
      <c r="AB236" s="1518"/>
      <c r="AC236" s="1518"/>
      <c r="AD236" s="1519"/>
    </row>
    <row r="237" spans="1:34" s="139" customFormat="1" x14ac:dyDescent="0.25">
      <c r="A237" s="1269">
        <v>237</v>
      </c>
      <c r="L237" s="44"/>
      <c r="M237" s="152"/>
      <c r="N237" s="152"/>
      <c r="O237" s="152"/>
      <c r="P237" s="152"/>
      <c r="Q237" s="152"/>
      <c r="R237" s="152"/>
      <c r="S237" s="152"/>
      <c r="T237" s="152"/>
      <c r="U237" s="152"/>
      <c r="V237" s="152"/>
      <c r="W237" s="44"/>
      <c r="X237" s="195"/>
      <c r="Y237" s="195"/>
      <c r="Z237" s="195"/>
      <c r="AA237" s="195"/>
      <c r="AB237" s="195"/>
      <c r="AC237" s="195"/>
      <c r="AD237" s="195"/>
      <c r="AE237" s="195"/>
      <c r="AF237" s="195"/>
      <c r="AG237" s="195"/>
      <c r="AH237" s="44"/>
    </row>
    <row r="238" spans="1:34" s="139" customFormat="1" x14ac:dyDescent="0.25">
      <c r="A238" s="1269">
        <v>238</v>
      </c>
      <c r="L238" s="44"/>
      <c r="M238" s="152"/>
      <c r="N238" s="152"/>
      <c r="O238" s="152"/>
      <c r="P238" s="152"/>
      <c r="Q238" s="152"/>
      <c r="R238" s="152"/>
      <c r="S238" s="152"/>
      <c r="T238" s="152"/>
      <c r="U238" s="152"/>
      <c r="V238" s="152"/>
      <c r="W238" s="44"/>
      <c r="X238" s="195"/>
      <c r="Y238" s="195"/>
      <c r="Z238" s="195"/>
      <c r="AA238" s="195"/>
      <c r="AB238" s="195"/>
      <c r="AC238" s="195"/>
      <c r="AD238" s="195"/>
      <c r="AE238" s="195"/>
      <c r="AF238" s="195"/>
      <c r="AG238" s="195"/>
      <c r="AH238" s="44"/>
    </row>
    <row r="239" spans="1:34" s="142" customFormat="1" ht="31.5" x14ac:dyDescent="0.5">
      <c r="A239" s="1269">
        <v>239</v>
      </c>
      <c r="B239" s="1520" t="s">
        <v>136</v>
      </c>
      <c r="C239" s="1520"/>
      <c r="D239" s="1520"/>
      <c r="E239" s="1520"/>
      <c r="F239" s="1520"/>
      <c r="G239" s="1520"/>
      <c r="H239" s="1520"/>
      <c r="I239" s="1520"/>
      <c r="J239" s="1520"/>
      <c r="K239" s="1520"/>
      <c r="L239" s="44"/>
      <c r="M239" s="1520" t="s">
        <v>136</v>
      </c>
      <c r="N239" s="1520"/>
      <c r="O239" s="1520"/>
      <c r="P239" s="1520"/>
      <c r="Q239" s="1520"/>
      <c r="R239" s="1520"/>
      <c r="S239" s="1520"/>
      <c r="T239" s="1520"/>
      <c r="U239" s="1520"/>
      <c r="V239" s="1520"/>
      <c r="W239" s="44"/>
      <c r="X239" s="1520" t="s">
        <v>136</v>
      </c>
      <c r="Y239" s="1520"/>
      <c r="Z239" s="1520"/>
      <c r="AA239" s="1520"/>
      <c r="AB239" s="1520"/>
      <c r="AC239" s="1520"/>
      <c r="AD239" s="1520"/>
      <c r="AE239" s="1520"/>
      <c r="AF239" s="1520"/>
      <c r="AG239" s="1520"/>
      <c r="AH239" s="44"/>
    </row>
    <row r="240" spans="1:34" ht="15.75" thickBot="1" x14ac:dyDescent="0.3">
      <c r="A240" s="1269">
        <v>240</v>
      </c>
      <c r="M240" s="152"/>
      <c r="N240" s="152"/>
      <c r="O240" s="152"/>
      <c r="P240" s="152"/>
      <c r="Q240" s="152"/>
      <c r="R240" s="152"/>
      <c r="S240" s="152"/>
      <c r="T240" s="152"/>
      <c r="U240" s="152"/>
      <c r="V240" s="152"/>
    </row>
    <row r="241" spans="1:33" ht="18.75" x14ac:dyDescent="0.3">
      <c r="A241" s="1269">
        <v>241</v>
      </c>
      <c r="B241" s="1510" t="s">
        <v>176</v>
      </c>
      <c r="C241" s="1511"/>
      <c r="D241" s="1511"/>
      <c r="E241" s="1511"/>
      <c r="F241" s="1511"/>
      <c r="G241" s="1511"/>
      <c r="H241" s="1511"/>
      <c r="I241" s="1512"/>
      <c r="M241" s="1510" t="s">
        <v>176</v>
      </c>
      <c r="N241" s="1511"/>
      <c r="O241" s="1511"/>
      <c r="P241" s="1511"/>
      <c r="Q241" s="1511"/>
      <c r="R241" s="1511"/>
      <c r="S241" s="1511"/>
      <c r="T241" s="1512"/>
      <c r="U241" s="391"/>
      <c r="V241" s="391"/>
      <c r="X241" s="1510" t="s">
        <v>176</v>
      </c>
      <c r="Y241" s="1511"/>
      <c r="Z241" s="1511"/>
      <c r="AA241" s="1511"/>
      <c r="AB241" s="1511"/>
      <c r="AC241" s="1511"/>
      <c r="AD241" s="1511"/>
      <c r="AE241" s="1512"/>
      <c r="AF241" s="391"/>
      <c r="AG241" s="391"/>
    </row>
    <row r="242" spans="1:33" ht="59.25" customHeight="1" x14ac:dyDescent="0.25">
      <c r="A242" s="1269">
        <v>242</v>
      </c>
      <c r="B242" s="20" t="s">
        <v>32</v>
      </c>
      <c r="C242" s="615" t="s">
        <v>960</v>
      </c>
      <c r="D242" s="615" t="s">
        <v>961</v>
      </c>
      <c r="E242" s="615" t="s">
        <v>17</v>
      </c>
      <c r="F242" s="615" t="s">
        <v>18</v>
      </c>
      <c r="G242" s="615" t="s">
        <v>889</v>
      </c>
      <c r="H242" s="988" t="s">
        <v>959</v>
      </c>
      <c r="I242" s="1930"/>
      <c r="M242" s="20" t="s">
        <v>32</v>
      </c>
      <c r="N242" s="615" t="s">
        <v>137</v>
      </c>
      <c r="O242" s="615" t="s">
        <v>33</v>
      </c>
      <c r="P242" s="615" t="s">
        <v>17</v>
      </c>
      <c r="Q242" s="615" t="s">
        <v>18</v>
      </c>
      <c r="R242" s="615" t="s">
        <v>889</v>
      </c>
      <c r="S242" s="163"/>
      <c r="T242" s="36"/>
      <c r="U242" s="391"/>
      <c r="V242" s="391"/>
      <c r="X242" s="20" t="s">
        <v>32</v>
      </c>
      <c r="Y242" s="615" t="s">
        <v>137</v>
      </c>
      <c r="Z242" s="615" t="s">
        <v>33</v>
      </c>
      <c r="AA242" s="615" t="s">
        <v>17</v>
      </c>
      <c r="AB242" s="615" t="s">
        <v>18</v>
      </c>
      <c r="AC242" s="615" t="s">
        <v>889</v>
      </c>
      <c r="AD242" s="163"/>
      <c r="AE242" s="36"/>
      <c r="AF242" s="391"/>
      <c r="AG242" s="391"/>
    </row>
    <row r="243" spans="1:33" x14ac:dyDescent="0.25">
      <c r="A243" s="1269">
        <v>243</v>
      </c>
      <c r="B243" s="1894"/>
      <c r="C243" s="1931"/>
      <c r="D243" s="1931"/>
      <c r="E243" s="1896"/>
      <c r="F243" s="1897"/>
      <c r="G243" s="1897"/>
      <c r="H243" s="164"/>
      <c r="I243" s="27">
        <f>IF(C243=0,0,(((E243/360)*($I$242-C243))*G243))</f>
        <v>0</v>
      </c>
      <c r="J243" s="183"/>
      <c r="K243" s="184"/>
      <c r="M243" s="1894"/>
      <c r="N243" s="1895"/>
      <c r="O243" s="1895"/>
      <c r="P243" s="1896"/>
      <c r="Q243" s="1897"/>
      <c r="R243" s="1897"/>
      <c r="S243" s="164"/>
      <c r="T243" s="13"/>
      <c r="U243" s="183"/>
      <c r="V243" s="184"/>
      <c r="X243" s="578"/>
      <c r="Y243" s="579"/>
      <c r="Z243" s="579"/>
      <c r="AA243" s="122"/>
      <c r="AB243" s="581"/>
      <c r="AC243" s="581"/>
      <c r="AD243" s="164"/>
      <c r="AE243" s="13"/>
      <c r="AF243" s="183"/>
      <c r="AG243" s="184"/>
    </row>
    <row r="244" spans="1:33" x14ac:dyDescent="0.25">
      <c r="A244" s="1269">
        <v>244</v>
      </c>
      <c r="B244" s="1894"/>
      <c r="C244" s="1931"/>
      <c r="D244" s="1931"/>
      <c r="E244" s="1896"/>
      <c r="F244" s="1897"/>
      <c r="G244" s="1897"/>
      <c r="H244" s="164"/>
      <c r="I244" s="27">
        <f t="shared" ref="I244:I251" si="139">IF(C244=0,0,(((E244/360)*($I$242-C244))*G244))</f>
        <v>0</v>
      </c>
      <c r="J244" s="183"/>
      <c r="K244" s="184"/>
      <c r="M244" s="1894"/>
      <c r="N244" s="1895"/>
      <c r="O244" s="1895"/>
      <c r="P244" s="1896"/>
      <c r="Q244" s="1897"/>
      <c r="R244" s="1897"/>
      <c r="S244" s="164"/>
      <c r="T244" s="13"/>
      <c r="U244" s="183"/>
      <c r="V244" s="184"/>
      <c r="X244" s="578"/>
      <c r="Y244" s="579"/>
      <c r="Z244" s="579"/>
      <c r="AA244" s="122"/>
      <c r="AB244" s="581"/>
      <c r="AC244" s="581"/>
      <c r="AD244" s="164"/>
      <c r="AE244" s="13"/>
      <c r="AF244" s="183"/>
      <c r="AG244" s="184"/>
    </row>
    <row r="245" spans="1:33" x14ac:dyDescent="0.25">
      <c r="A245" s="1269">
        <v>245</v>
      </c>
      <c r="B245" s="1894"/>
      <c r="C245" s="1931"/>
      <c r="D245" s="1931"/>
      <c r="E245" s="1896"/>
      <c r="F245" s="1897"/>
      <c r="G245" s="1897"/>
      <c r="H245" s="164"/>
      <c r="I245" s="27">
        <f t="shared" si="139"/>
        <v>0</v>
      </c>
      <c r="J245" s="183"/>
      <c r="K245" s="184"/>
      <c r="M245" s="1894"/>
      <c r="N245" s="1895"/>
      <c r="O245" s="1895"/>
      <c r="P245" s="1896"/>
      <c r="Q245" s="1897"/>
      <c r="R245" s="1897"/>
      <c r="S245" s="164"/>
      <c r="T245" s="13"/>
      <c r="U245" s="183"/>
      <c r="V245" s="184"/>
      <c r="X245" s="578"/>
      <c r="Y245" s="579"/>
      <c r="Z245" s="579"/>
      <c r="AA245" s="122"/>
      <c r="AB245" s="581"/>
      <c r="AC245" s="581"/>
      <c r="AD245" s="164"/>
      <c r="AE245" s="13"/>
      <c r="AF245" s="183"/>
      <c r="AG245" s="184"/>
    </row>
    <row r="246" spans="1:33" x14ac:dyDescent="0.25">
      <c r="A246" s="1269">
        <v>246</v>
      </c>
      <c r="B246" s="1894"/>
      <c r="C246" s="1931"/>
      <c r="D246" s="1931"/>
      <c r="E246" s="1896"/>
      <c r="F246" s="1897"/>
      <c r="G246" s="1897"/>
      <c r="H246" s="164"/>
      <c r="I246" s="27">
        <f t="shared" si="139"/>
        <v>0</v>
      </c>
      <c r="J246" s="183"/>
      <c r="K246" s="184"/>
      <c r="M246" s="1894"/>
      <c r="N246" s="1895"/>
      <c r="O246" s="1895"/>
      <c r="P246" s="1896"/>
      <c r="Q246" s="1897"/>
      <c r="R246" s="1897"/>
      <c r="S246" s="164"/>
      <c r="T246" s="13"/>
      <c r="U246" s="183"/>
      <c r="V246" s="184"/>
      <c r="X246" s="427"/>
      <c r="Y246" s="428"/>
      <c r="Z246" s="428"/>
      <c r="AA246" s="122"/>
      <c r="AB246" s="429"/>
      <c r="AC246" s="429"/>
      <c r="AD246" s="164"/>
      <c r="AE246" s="13"/>
      <c r="AF246" s="183"/>
      <c r="AG246" s="184"/>
    </row>
    <row r="247" spans="1:33" x14ac:dyDescent="0.25">
      <c r="A247" s="1269">
        <v>247</v>
      </c>
      <c r="B247" s="1894"/>
      <c r="C247" s="1931"/>
      <c r="D247" s="1931"/>
      <c r="E247" s="1896"/>
      <c r="F247" s="1897"/>
      <c r="G247" s="1897"/>
      <c r="H247" s="164"/>
      <c r="I247" s="27">
        <f t="shared" si="139"/>
        <v>0</v>
      </c>
      <c r="J247" s="183"/>
      <c r="K247" s="184"/>
      <c r="M247" s="1894"/>
      <c r="N247" s="1895"/>
      <c r="O247" s="1895"/>
      <c r="P247" s="1896"/>
      <c r="Q247" s="1897"/>
      <c r="R247" s="1897"/>
      <c r="S247" s="164"/>
      <c r="T247" s="13"/>
      <c r="U247" s="183"/>
      <c r="V247" s="184"/>
      <c r="X247" s="427"/>
      <c r="Y247" s="428"/>
      <c r="Z247" s="428"/>
      <c r="AA247" s="122"/>
      <c r="AB247" s="429"/>
      <c r="AC247" s="429"/>
      <c r="AD247" s="164"/>
      <c r="AE247" s="13"/>
      <c r="AF247" s="183"/>
      <c r="AG247" s="184"/>
    </row>
    <row r="248" spans="1:33" x14ac:dyDescent="0.25">
      <c r="A248" s="1269">
        <v>248</v>
      </c>
      <c r="B248" s="1894"/>
      <c r="C248" s="1931"/>
      <c r="D248" s="1931"/>
      <c r="E248" s="1896"/>
      <c r="F248" s="1897"/>
      <c r="G248" s="1897"/>
      <c r="H248" s="164"/>
      <c r="I248" s="27">
        <f t="shared" si="139"/>
        <v>0</v>
      </c>
      <c r="J248" s="183"/>
      <c r="K248" s="184"/>
      <c r="M248" s="1894"/>
      <c r="N248" s="1895"/>
      <c r="O248" s="1895"/>
      <c r="P248" s="1896"/>
      <c r="Q248" s="1897"/>
      <c r="R248" s="1897"/>
      <c r="S248" s="164"/>
      <c r="T248" s="13"/>
      <c r="U248" s="183"/>
      <c r="V248" s="184"/>
      <c r="X248" s="427"/>
      <c r="Y248" s="428"/>
      <c r="Z248" s="428"/>
      <c r="AA248" s="122"/>
      <c r="AB248" s="429"/>
      <c r="AC248" s="429"/>
      <c r="AD248" s="164"/>
      <c r="AE248" s="13"/>
      <c r="AF248" s="183"/>
      <c r="AG248" s="184"/>
    </row>
    <row r="249" spans="1:33" x14ac:dyDescent="0.25">
      <c r="A249" s="1269">
        <v>249</v>
      </c>
      <c r="B249" s="1894"/>
      <c r="C249" s="1931"/>
      <c r="D249" s="1931"/>
      <c r="E249" s="1896"/>
      <c r="F249" s="1897"/>
      <c r="G249" s="1897"/>
      <c r="H249" s="164"/>
      <c r="I249" s="27">
        <f t="shared" si="139"/>
        <v>0</v>
      </c>
      <c r="J249" s="183"/>
      <c r="K249" s="184"/>
      <c r="M249" s="1894"/>
      <c r="N249" s="1895"/>
      <c r="O249" s="1895"/>
      <c r="P249" s="1896"/>
      <c r="Q249" s="1897"/>
      <c r="R249" s="1897"/>
      <c r="S249" s="164"/>
      <c r="T249" s="13"/>
      <c r="U249" s="183"/>
      <c r="V249" s="184"/>
      <c r="X249" s="427"/>
      <c r="Y249" s="428"/>
      <c r="Z249" s="428"/>
      <c r="AA249" s="122"/>
      <c r="AB249" s="429"/>
      <c r="AC249" s="429"/>
      <c r="AD249" s="164"/>
      <c r="AE249" s="13"/>
      <c r="AF249" s="183"/>
      <c r="AG249" s="184"/>
    </row>
    <row r="250" spans="1:33" x14ac:dyDescent="0.25">
      <c r="A250" s="1269">
        <v>250</v>
      </c>
      <c r="B250" s="1894"/>
      <c r="C250" s="1931"/>
      <c r="D250" s="1931"/>
      <c r="E250" s="1896"/>
      <c r="F250" s="1897"/>
      <c r="G250" s="1897"/>
      <c r="H250" s="164"/>
      <c r="I250" s="27">
        <f t="shared" si="139"/>
        <v>0</v>
      </c>
      <c r="J250" s="183"/>
      <c r="K250" s="184"/>
      <c r="M250" s="1894"/>
      <c r="N250" s="1895"/>
      <c r="O250" s="1895"/>
      <c r="P250" s="1896"/>
      <c r="Q250" s="1897"/>
      <c r="R250" s="1897"/>
      <c r="S250" s="164"/>
      <c r="T250" s="13"/>
      <c r="U250" s="183"/>
      <c r="V250" s="184"/>
      <c r="X250" s="427"/>
      <c r="Y250" s="428"/>
      <c r="Z250" s="428"/>
      <c r="AA250" s="122"/>
      <c r="AB250" s="429"/>
      <c r="AC250" s="429"/>
      <c r="AD250" s="164"/>
      <c r="AE250" s="13"/>
      <c r="AF250" s="183"/>
      <c r="AG250" s="184"/>
    </row>
    <row r="251" spans="1:33" x14ac:dyDescent="0.25">
      <c r="A251" s="1269">
        <v>251</v>
      </c>
      <c r="B251" s="1894"/>
      <c r="C251" s="1931"/>
      <c r="D251" s="1931"/>
      <c r="E251" s="1896"/>
      <c r="F251" s="1897"/>
      <c r="G251" s="1897"/>
      <c r="H251" s="164"/>
      <c r="I251" s="27">
        <f t="shared" si="139"/>
        <v>0</v>
      </c>
      <c r="J251" s="183"/>
      <c r="K251" s="184"/>
      <c r="M251" s="1894"/>
      <c r="N251" s="1895"/>
      <c r="O251" s="1895"/>
      <c r="P251" s="1896"/>
      <c r="Q251" s="1897"/>
      <c r="R251" s="1897"/>
      <c r="S251" s="164"/>
      <c r="T251" s="13"/>
      <c r="U251" s="183"/>
      <c r="V251" s="184"/>
      <c r="X251" s="427"/>
      <c r="Y251" s="428"/>
      <c r="Z251" s="428"/>
      <c r="AA251" s="122"/>
      <c r="AB251" s="429"/>
      <c r="AC251" s="429"/>
      <c r="AD251" s="164"/>
      <c r="AE251" s="13"/>
      <c r="AF251" s="183"/>
      <c r="AG251" s="184"/>
    </row>
    <row r="252" spans="1:33" x14ac:dyDescent="0.25">
      <c r="A252" s="1269">
        <v>252</v>
      </c>
      <c r="B252" s="1467" t="s">
        <v>49</v>
      </c>
      <c r="C252" s="1468"/>
      <c r="D252" s="1468"/>
      <c r="E252" s="1468"/>
      <c r="F252" s="42">
        <f>SUM(F243:F251)</f>
        <v>0</v>
      </c>
      <c r="G252" s="40">
        <f>SUM(G243:G251)</f>
        <v>0</v>
      </c>
      <c r="H252" s="165"/>
      <c r="I252" s="13"/>
      <c r="J252" s="183"/>
      <c r="K252" s="184"/>
      <c r="M252" s="1467" t="s">
        <v>49</v>
      </c>
      <c r="N252" s="1468"/>
      <c r="O252" s="1468"/>
      <c r="P252" s="1468"/>
      <c r="Q252" s="42">
        <f>SUM(Q243:Q251)</f>
        <v>0</v>
      </c>
      <c r="R252" s="40">
        <f>SUM(R243:R251)</f>
        <v>0</v>
      </c>
      <c r="S252" s="165"/>
      <c r="T252" s="13"/>
      <c r="U252" s="183"/>
      <c r="V252" s="184"/>
      <c r="X252" s="1467" t="s">
        <v>49</v>
      </c>
      <c r="Y252" s="1468"/>
      <c r="Z252" s="1468"/>
      <c r="AA252" s="1468"/>
      <c r="AB252" s="42">
        <f>SUM(AB243:AB251)</f>
        <v>0</v>
      </c>
      <c r="AC252" s="40">
        <f>SUM(AC243:AC251)</f>
        <v>0</v>
      </c>
      <c r="AD252" s="165"/>
      <c r="AE252" s="13"/>
      <c r="AF252" s="183"/>
      <c r="AG252" s="184"/>
    </row>
    <row r="253" spans="1:33" ht="60.75" x14ac:dyDescent="0.3">
      <c r="A253" s="1269">
        <v>253</v>
      </c>
      <c r="B253" s="977" t="s">
        <v>3</v>
      </c>
      <c r="C253" s="615" t="s">
        <v>960</v>
      </c>
      <c r="D253" s="615" t="s">
        <v>961</v>
      </c>
      <c r="E253" s="615" t="s">
        <v>17</v>
      </c>
      <c r="F253" s="615" t="s">
        <v>18</v>
      </c>
      <c r="G253" s="615" t="s">
        <v>889</v>
      </c>
      <c r="H253" s="166"/>
      <c r="I253" s="37" t="s">
        <v>962</v>
      </c>
      <c r="J253" s="183"/>
      <c r="K253" s="184"/>
      <c r="M253" s="605" t="s">
        <v>3</v>
      </c>
      <c r="N253" s="615" t="s">
        <v>137</v>
      </c>
      <c r="O253" s="615" t="s">
        <v>33</v>
      </c>
      <c r="P253" s="615" t="s">
        <v>17</v>
      </c>
      <c r="Q253" s="615" t="s">
        <v>18</v>
      </c>
      <c r="R253" s="615" t="s">
        <v>889</v>
      </c>
      <c r="S253" s="166"/>
      <c r="T253" s="13"/>
      <c r="U253" s="183"/>
      <c r="V253" s="184"/>
      <c r="X253" s="605" t="s">
        <v>3</v>
      </c>
      <c r="Y253" s="615" t="s">
        <v>137</v>
      </c>
      <c r="Z253" s="615" t="s">
        <v>33</v>
      </c>
      <c r="AA253" s="615" t="s">
        <v>17</v>
      </c>
      <c r="AB253" s="615" t="s">
        <v>18</v>
      </c>
      <c r="AC253" s="615" t="s">
        <v>889</v>
      </c>
      <c r="AD253" s="166"/>
      <c r="AE253" s="13"/>
      <c r="AF253" s="183"/>
      <c r="AG253" s="184"/>
    </row>
    <row r="254" spans="1:33" x14ac:dyDescent="0.25">
      <c r="A254" s="1269">
        <v>254</v>
      </c>
      <c r="B254" s="1932"/>
      <c r="C254" s="1931"/>
      <c r="D254" s="1931"/>
      <c r="E254" s="1896"/>
      <c r="F254" s="1895"/>
      <c r="G254" s="1897"/>
      <c r="H254" s="164"/>
      <c r="I254" s="27">
        <f>IF(C254=0,0,((E254/360)*($I$242-C254))*G254)</f>
        <v>0</v>
      </c>
      <c r="J254" s="183"/>
      <c r="K254" s="184"/>
      <c r="M254" s="1932"/>
      <c r="N254" s="1895"/>
      <c r="O254" s="1895"/>
      <c r="P254" s="1896"/>
      <c r="Q254" s="1895"/>
      <c r="R254" s="1897"/>
      <c r="S254" s="164"/>
      <c r="T254" s="13"/>
      <c r="U254" s="183"/>
      <c r="V254" s="184"/>
      <c r="X254" s="131"/>
      <c r="Y254" s="579"/>
      <c r="Z254" s="579"/>
      <c r="AA254" s="122"/>
      <c r="AB254" s="579"/>
      <c r="AC254" s="581"/>
      <c r="AD254" s="164"/>
      <c r="AE254" s="13"/>
      <c r="AF254" s="183"/>
      <c r="AG254" s="184"/>
    </row>
    <row r="255" spans="1:33" x14ac:dyDescent="0.25">
      <c r="A255" s="1269">
        <v>255</v>
      </c>
      <c r="B255" s="1932"/>
      <c r="C255" s="1931"/>
      <c r="D255" s="1931"/>
      <c r="E255" s="1896"/>
      <c r="F255" s="1895"/>
      <c r="G255" s="1897"/>
      <c r="H255" s="164"/>
      <c r="I255" s="27">
        <f t="shared" ref="I255:I258" si="140">IF(C255=0,0,((E255/360)*($I$242-C255))*G255)</f>
        <v>0</v>
      </c>
      <c r="J255" s="183"/>
      <c r="K255" s="184"/>
      <c r="M255" s="1932"/>
      <c r="N255" s="1895"/>
      <c r="O255" s="1895"/>
      <c r="P255" s="1896"/>
      <c r="Q255" s="1895"/>
      <c r="R255" s="1897"/>
      <c r="S255" s="164"/>
      <c r="T255" s="13"/>
      <c r="U255" s="183"/>
      <c r="V255" s="184"/>
      <c r="X255" s="131"/>
      <c r="Y255" s="428"/>
      <c r="Z255" s="428"/>
      <c r="AA255" s="122"/>
      <c r="AB255" s="428"/>
      <c r="AC255" s="429"/>
      <c r="AD255" s="164"/>
      <c r="AE255" s="13"/>
      <c r="AF255" s="183"/>
      <c r="AG255" s="184"/>
    </row>
    <row r="256" spans="1:33" x14ac:dyDescent="0.25">
      <c r="A256" s="1269">
        <v>256</v>
      </c>
      <c r="B256" s="1932"/>
      <c r="C256" s="1931"/>
      <c r="D256" s="1931"/>
      <c r="E256" s="1896"/>
      <c r="F256" s="1895"/>
      <c r="G256" s="1897"/>
      <c r="H256" s="164"/>
      <c r="I256" s="27">
        <f t="shared" si="140"/>
        <v>0</v>
      </c>
      <c r="J256" s="183"/>
      <c r="K256" s="184"/>
      <c r="M256" s="1932"/>
      <c r="N256" s="1895"/>
      <c r="O256" s="1895"/>
      <c r="P256" s="1896"/>
      <c r="Q256" s="1895"/>
      <c r="R256" s="1897"/>
      <c r="S256" s="164"/>
      <c r="T256" s="13"/>
      <c r="U256" s="183"/>
      <c r="V256" s="184"/>
      <c r="X256" s="131"/>
      <c r="Y256" s="428"/>
      <c r="Z256" s="428"/>
      <c r="AA256" s="122"/>
      <c r="AB256" s="428"/>
      <c r="AC256" s="429"/>
      <c r="AD256" s="164"/>
      <c r="AE256" s="13"/>
      <c r="AF256" s="183"/>
      <c r="AG256" s="184"/>
    </row>
    <row r="257" spans="1:34" x14ac:dyDescent="0.25">
      <c r="A257" s="1269">
        <v>257</v>
      </c>
      <c r="B257" s="1932"/>
      <c r="C257" s="1931"/>
      <c r="D257" s="1931"/>
      <c r="E257" s="1896"/>
      <c r="F257" s="1895"/>
      <c r="G257" s="1897"/>
      <c r="H257" s="164"/>
      <c r="I257" s="27">
        <f t="shared" si="140"/>
        <v>0</v>
      </c>
      <c r="J257" s="183"/>
      <c r="K257" s="184"/>
      <c r="M257" s="1932"/>
      <c r="N257" s="1895"/>
      <c r="O257" s="1895"/>
      <c r="P257" s="1896"/>
      <c r="Q257" s="1895"/>
      <c r="R257" s="1897"/>
      <c r="S257" s="164"/>
      <c r="T257" s="13"/>
      <c r="U257" s="183"/>
      <c r="V257" s="184"/>
      <c r="X257" s="131"/>
      <c r="Y257" s="428"/>
      <c r="Z257" s="428"/>
      <c r="AA257" s="122"/>
      <c r="AB257" s="428"/>
      <c r="AC257" s="429"/>
      <c r="AD257" s="164"/>
      <c r="AE257" s="13"/>
      <c r="AF257" s="183"/>
      <c r="AG257" s="184"/>
    </row>
    <row r="258" spans="1:34" x14ac:dyDescent="0.25">
      <c r="A258" s="1269">
        <v>258</v>
      </c>
      <c r="B258" s="1932"/>
      <c r="C258" s="1931"/>
      <c r="D258" s="1931"/>
      <c r="E258" s="1896"/>
      <c r="F258" s="1895"/>
      <c r="G258" s="1897"/>
      <c r="H258" s="164"/>
      <c r="I258" s="27">
        <f t="shared" si="140"/>
        <v>0</v>
      </c>
      <c r="J258" s="183"/>
      <c r="K258" s="184"/>
      <c r="M258" s="1932"/>
      <c r="N258" s="1895"/>
      <c r="O258" s="1895"/>
      <c r="P258" s="1896"/>
      <c r="Q258" s="1895"/>
      <c r="R258" s="1897"/>
      <c r="S258" s="164"/>
      <c r="T258" s="13"/>
      <c r="U258" s="183"/>
      <c r="V258" s="184"/>
      <c r="X258" s="131"/>
      <c r="Y258" s="428"/>
      <c r="Z258" s="428"/>
      <c r="AA258" s="122"/>
      <c r="AB258" s="428"/>
      <c r="AC258" s="429"/>
      <c r="AD258" s="164"/>
      <c r="AE258" s="13"/>
      <c r="AF258" s="183"/>
      <c r="AG258" s="184"/>
    </row>
    <row r="259" spans="1:34" x14ac:dyDescent="0.25">
      <c r="A259" s="1269">
        <v>259</v>
      </c>
      <c r="B259" s="1467" t="s">
        <v>50</v>
      </c>
      <c r="C259" s="1468"/>
      <c r="D259" s="1468"/>
      <c r="E259" s="1468"/>
      <c r="F259" s="976">
        <f>SUM(F254:F258)</f>
        <v>0</v>
      </c>
      <c r="G259" s="41">
        <f>SUM(G254:G258)</f>
        <v>0</v>
      </c>
      <c r="H259" s="167"/>
      <c r="I259" s="13"/>
      <c r="J259" s="183"/>
      <c r="K259" s="184"/>
      <c r="M259" s="1467" t="s">
        <v>50</v>
      </c>
      <c r="N259" s="1468"/>
      <c r="O259" s="1468"/>
      <c r="P259" s="1468"/>
      <c r="Q259" s="430">
        <f>SUM(Q254:Q258)</f>
        <v>0</v>
      </c>
      <c r="R259" s="41">
        <f>SUM(R254:R258)</f>
        <v>0</v>
      </c>
      <c r="S259" s="167"/>
      <c r="T259" s="13"/>
      <c r="U259" s="183"/>
      <c r="V259" s="184"/>
      <c r="X259" s="1467" t="s">
        <v>50</v>
      </c>
      <c r="Y259" s="1468"/>
      <c r="Z259" s="1468"/>
      <c r="AA259" s="1468"/>
      <c r="AB259" s="430">
        <f>SUM(AB254:AB258)</f>
        <v>0</v>
      </c>
      <c r="AC259" s="41">
        <f>SUM(AC254:AC258)</f>
        <v>0</v>
      </c>
      <c r="AD259" s="167"/>
      <c r="AE259" s="13"/>
      <c r="AF259" s="183"/>
      <c r="AG259" s="184"/>
    </row>
    <row r="260" spans="1:34" x14ac:dyDescent="0.25">
      <c r="A260" s="1269">
        <v>260</v>
      </c>
      <c r="B260" s="1490" t="s">
        <v>1061</v>
      </c>
      <c r="C260" s="1491"/>
      <c r="D260" s="1491"/>
      <c r="E260" s="1491"/>
      <c r="F260" s="1491"/>
      <c r="G260" s="162">
        <f>G252+G259</f>
        <v>0</v>
      </c>
      <c r="H260" s="167"/>
      <c r="I260" s="13"/>
      <c r="J260" s="183"/>
      <c r="K260" s="184"/>
      <c r="M260" s="1490" t="s">
        <v>1061</v>
      </c>
      <c r="N260" s="1491"/>
      <c r="O260" s="1491"/>
      <c r="P260" s="1491"/>
      <c r="Q260" s="1491"/>
      <c r="R260" s="162">
        <f>R252+R259</f>
        <v>0</v>
      </c>
      <c r="S260" s="167"/>
      <c r="T260" s="13"/>
      <c r="U260" s="183"/>
      <c r="V260" s="184"/>
      <c r="X260" s="1490" t="s">
        <v>1061</v>
      </c>
      <c r="Y260" s="1491"/>
      <c r="Z260" s="1491"/>
      <c r="AA260" s="1491"/>
      <c r="AB260" s="1491"/>
      <c r="AC260" s="162">
        <f>AC252+AC259</f>
        <v>0</v>
      </c>
      <c r="AD260" s="167"/>
      <c r="AE260" s="13"/>
      <c r="AF260" s="183"/>
      <c r="AG260" s="184"/>
    </row>
    <row r="261" spans="1:34" ht="57.6" customHeight="1" x14ac:dyDescent="0.3">
      <c r="A261" s="1269">
        <v>261</v>
      </c>
      <c r="B261" s="26" t="s">
        <v>177</v>
      </c>
      <c r="C261" s="615" t="s">
        <v>960</v>
      </c>
      <c r="D261" s="615" t="s">
        <v>961</v>
      </c>
      <c r="E261" s="615" t="s">
        <v>17</v>
      </c>
      <c r="F261" s="615" t="s">
        <v>18</v>
      </c>
      <c r="G261" s="615" t="s">
        <v>889</v>
      </c>
      <c r="H261" s="166"/>
      <c r="I261" s="37" t="s">
        <v>962</v>
      </c>
      <c r="K261" s="249" t="s">
        <v>194</v>
      </c>
      <c r="M261" s="26" t="s">
        <v>177</v>
      </c>
      <c r="N261" s="615" t="s">
        <v>34</v>
      </c>
      <c r="O261" s="615" t="s">
        <v>33</v>
      </c>
      <c r="P261" s="615" t="s">
        <v>17</v>
      </c>
      <c r="Q261" s="615" t="s">
        <v>18</v>
      </c>
      <c r="R261" s="615" t="s">
        <v>889</v>
      </c>
      <c r="S261" s="166"/>
      <c r="T261" s="13"/>
      <c r="U261" s="246" t="s">
        <v>194</v>
      </c>
      <c r="V261" s="455"/>
      <c r="X261" s="26" t="s">
        <v>177</v>
      </c>
      <c r="Y261" s="615" t="s">
        <v>34</v>
      </c>
      <c r="Z261" s="615" t="s">
        <v>33</v>
      </c>
      <c r="AA261" s="615" t="s">
        <v>17</v>
      </c>
      <c r="AB261" s="615" t="s">
        <v>18</v>
      </c>
      <c r="AC261" s="615" t="s">
        <v>889</v>
      </c>
      <c r="AD261" s="166"/>
      <c r="AE261" s="13"/>
      <c r="AF261" s="246" t="s">
        <v>194</v>
      </c>
      <c r="AG261" s="455"/>
    </row>
    <row r="262" spans="1:34" x14ac:dyDescent="0.25">
      <c r="A262" s="1269">
        <v>262</v>
      </c>
      <c r="B262" s="1894"/>
      <c r="C262" s="1931"/>
      <c r="D262" s="1931"/>
      <c r="E262" s="1896"/>
      <c r="F262" s="1897"/>
      <c r="G262" s="1897"/>
      <c r="H262" s="453"/>
      <c r="I262" s="27">
        <f>IF(C262=0,0,((E262/360)*($I$242-C262))*G262)</f>
        <v>0</v>
      </c>
      <c r="K262" s="250">
        <f>IF(G$267=0,0,$E262*(G262/G$267))</f>
        <v>0</v>
      </c>
      <c r="L262" s="269" t="e">
        <f>E262*((G262)/($G$267+$G$292+$H$292+H$284+$I$284))</f>
        <v>#DIV/0!</v>
      </c>
      <c r="M262" s="1894"/>
      <c r="N262" s="1943"/>
      <c r="O262" s="1895"/>
      <c r="P262" s="1896"/>
      <c r="Q262" s="1897"/>
      <c r="R262" s="1897"/>
      <c r="S262" s="453"/>
      <c r="T262" s="13"/>
      <c r="U262" s="247">
        <f>IF(R$267=0,0,$E262*(R262/R$267))</f>
        <v>0</v>
      </c>
      <c r="V262" s="456"/>
      <c r="W262" s="269" t="e">
        <f>P262*((R262)/($G$267+$G$292+$H$292+S$284+$I$284))</f>
        <v>#DIV/0!</v>
      </c>
      <c r="X262" s="578"/>
      <c r="Y262" s="579"/>
      <c r="Z262" s="579"/>
      <c r="AA262" s="122"/>
      <c r="AB262" s="581"/>
      <c r="AC262" s="581"/>
      <c r="AD262" s="453"/>
      <c r="AE262" s="13"/>
      <c r="AF262" s="247">
        <f>IF(AC$267=0,0,$E262*(AC262/AC$267))</f>
        <v>0</v>
      </c>
      <c r="AG262" s="456"/>
      <c r="AH262" s="269" t="e">
        <f>AA262*((AC262)/($G$267+$G$292+$H$292+AD$284+$I$284))</f>
        <v>#DIV/0!</v>
      </c>
    </row>
    <row r="263" spans="1:34" x14ac:dyDescent="0.25">
      <c r="A263" s="1269">
        <v>263</v>
      </c>
      <c r="B263" s="1894"/>
      <c r="C263" s="1931"/>
      <c r="D263" s="1931"/>
      <c r="E263" s="1896"/>
      <c r="F263" s="1897"/>
      <c r="G263" s="1897"/>
      <c r="H263" s="453"/>
      <c r="I263" s="27">
        <f t="shared" ref="I263:I266" si="141">IF(C263=0,0,((E263/360)*($I$242-C263))*G263)</f>
        <v>0</v>
      </c>
      <c r="K263" s="250">
        <f>IF(G$267=0,0,$E263*(G263/G$267))</f>
        <v>0</v>
      </c>
      <c r="L263" s="269" t="e">
        <f t="shared" ref="L263:L266" si="142">E263*((G263)/($G$267+$G$292+$H$292+H$284+$I$284))</f>
        <v>#DIV/0!</v>
      </c>
      <c r="M263" s="1894"/>
      <c r="N263" s="1895"/>
      <c r="O263" s="1895"/>
      <c r="P263" s="1896"/>
      <c r="Q263" s="1897"/>
      <c r="R263" s="1897"/>
      <c r="S263" s="453"/>
      <c r="T263" s="13"/>
      <c r="U263" s="247">
        <f t="shared" ref="U263:U266" si="143">IF(R$267=0,0,$E263*(R263/R$267))</f>
        <v>0</v>
      </c>
      <c r="V263" s="456"/>
      <c r="W263" s="269" t="e">
        <f t="shared" ref="W263:W266" si="144">P263*((R263)/($G$267+$G$292+$H$292+S$284+$I$284))</f>
        <v>#DIV/0!</v>
      </c>
      <c r="X263" s="578"/>
      <c r="Y263" s="579"/>
      <c r="Z263" s="579"/>
      <c r="AA263" s="122"/>
      <c r="AB263" s="581"/>
      <c r="AC263" s="581"/>
      <c r="AD263" s="453"/>
      <c r="AE263" s="13"/>
      <c r="AF263" s="247">
        <f t="shared" ref="AF263:AF266" si="145">IF(AC$267=0,0,$E263*(AC263/AC$267))</f>
        <v>0</v>
      </c>
      <c r="AG263" s="456"/>
      <c r="AH263" s="269" t="e">
        <f t="shared" ref="AH263:AH266" si="146">AA263*((AC263)/($G$267+$G$292+$H$292+AD$284+$I$284))</f>
        <v>#DIV/0!</v>
      </c>
    </row>
    <row r="264" spans="1:34" s="142" customFormat="1" x14ac:dyDescent="0.25">
      <c r="A264" s="1269">
        <v>264</v>
      </c>
      <c r="B264" s="1894"/>
      <c r="C264" s="1931"/>
      <c r="D264" s="1931"/>
      <c r="E264" s="1896"/>
      <c r="F264" s="1897"/>
      <c r="G264" s="1897"/>
      <c r="H264" s="453"/>
      <c r="I264" s="27">
        <f t="shared" si="141"/>
        <v>0</v>
      </c>
      <c r="K264" s="250">
        <f>IF(G$267=0,0,$E264*(G264/G$267))</f>
        <v>0</v>
      </c>
      <c r="L264" s="269" t="e">
        <f t="shared" si="142"/>
        <v>#DIV/0!</v>
      </c>
      <c r="M264" s="1894"/>
      <c r="N264" s="1895"/>
      <c r="O264" s="1895"/>
      <c r="P264" s="1896"/>
      <c r="Q264" s="1897"/>
      <c r="R264" s="1897"/>
      <c r="S264" s="453"/>
      <c r="T264" s="13"/>
      <c r="U264" s="247">
        <f t="shared" si="143"/>
        <v>0</v>
      </c>
      <c r="V264" s="456"/>
      <c r="W264" s="269" t="e">
        <f t="shared" si="144"/>
        <v>#DIV/0!</v>
      </c>
      <c r="X264" s="427"/>
      <c r="Y264" s="428"/>
      <c r="Z264" s="428"/>
      <c r="AA264" s="122"/>
      <c r="AB264" s="429"/>
      <c r="AC264" s="429"/>
      <c r="AD264" s="453"/>
      <c r="AE264" s="13"/>
      <c r="AF264" s="247">
        <f t="shared" si="145"/>
        <v>0</v>
      </c>
      <c r="AG264" s="456"/>
      <c r="AH264" s="269" t="e">
        <f t="shared" si="146"/>
        <v>#DIV/0!</v>
      </c>
    </row>
    <row r="265" spans="1:34" x14ac:dyDescent="0.25">
      <c r="A265" s="1269">
        <v>265</v>
      </c>
      <c r="B265" s="1894"/>
      <c r="C265" s="1931"/>
      <c r="D265" s="1931"/>
      <c r="E265" s="1896"/>
      <c r="F265" s="1897"/>
      <c r="G265" s="1897"/>
      <c r="H265" s="453"/>
      <c r="I265" s="27">
        <f t="shared" si="141"/>
        <v>0</v>
      </c>
      <c r="K265" s="250">
        <f>IF(G$267=0,0,$E265*(G265/G$267))</f>
        <v>0</v>
      </c>
      <c r="L265" s="269" t="e">
        <f t="shared" si="142"/>
        <v>#DIV/0!</v>
      </c>
      <c r="M265" s="1894"/>
      <c r="N265" s="1895"/>
      <c r="O265" s="1895"/>
      <c r="P265" s="1896"/>
      <c r="Q265" s="1897"/>
      <c r="R265" s="1897"/>
      <c r="S265" s="453"/>
      <c r="T265" s="13"/>
      <c r="U265" s="247">
        <f t="shared" si="143"/>
        <v>0</v>
      </c>
      <c r="V265" s="456"/>
      <c r="W265" s="269" t="e">
        <f t="shared" si="144"/>
        <v>#DIV/0!</v>
      </c>
      <c r="X265" s="427"/>
      <c r="Y265" s="428"/>
      <c r="Z265" s="428"/>
      <c r="AA265" s="122"/>
      <c r="AB265" s="429"/>
      <c r="AC265" s="429"/>
      <c r="AD265" s="453"/>
      <c r="AE265" s="13"/>
      <c r="AF265" s="247">
        <f t="shared" si="145"/>
        <v>0</v>
      </c>
      <c r="AG265" s="456"/>
      <c r="AH265" s="269" t="e">
        <f t="shared" si="146"/>
        <v>#DIV/0!</v>
      </c>
    </row>
    <row r="266" spans="1:34" x14ac:dyDescent="0.25">
      <c r="A266" s="1269">
        <v>266</v>
      </c>
      <c r="B266" s="1894"/>
      <c r="C266" s="1931"/>
      <c r="D266" s="1931"/>
      <c r="E266" s="1896"/>
      <c r="F266" s="1897"/>
      <c r="G266" s="1897"/>
      <c r="H266" s="453"/>
      <c r="I266" s="27">
        <f t="shared" si="141"/>
        <v>0</v>
      </c>
      <c r="K266" s="250">
        <f>IF(G$267=0,0,$E266*(G266/G$267))</f>
        <v>0</v>
      </c>
      <c r="L266" s="269" t="e">
        <f t="shared" si="142"/>
        <v>#DIV/0!</v>
      </c>
      <c r="M266" s="1894"/>
      <c r="N266" s="1895"/>
      <c r="O266" s="1895"/>
      <c r="P266" s="1896"/>
      <c r="Q266" s="1897"/>
      <c r="R266" s="1897"/>
      <c r="S266" s="453"/>
      <c r="T266" s="13"/>
      <c r="U266" s="247">
        <f t="shared" si="143"/>
        <v>0</v>
      </c>
      <c r="V266" s="456"/>
      <c r="W266" s="269" t="e">
        <f t="shared" si="144"/>
        <v>#DIV/0!</v>
      </c>
      <c r="X266" s="427"/>
      <c r="Y266" s="428"/>
      <c r="Z266" s="428"/>
      <c r="AA266" s="122"/>
      <c r="AB266" s="429"/>
      <c r="AC266" s="429"/>
      <c r="AD266" s="453"/>
      <c r="AE266" s="13"/>
      <c r="AF266" s="247">
        <f t="shared" si="145"/>
        <v>0</v>
      </c>
      <c r="AG266" s="456"/>
      <c r="AH266" s="269" t="e">
        <f t="shared" si="146"/>
        <v>#DIV/0!</v>
      </c>
    </row>
    <row r="267" spans="1:34" s="142" customFormat="1" x14ac:dyDescent="0.25">
      <c r="A267" s="1269">
        <v>267</v>
      </c>
      <c r="B267" s="1467" t="s">
        <v>140</v>
      </c>
      <c r="C267" s="1468"/>
      <c r="D267" s="1468"/>
      <c r="E267" s="1468"/>
      <c r="F267" s="7">
        <f>SUM(F262:F266)</f>
        <v>0</v>
      </c>
      <c r="G267" s="7">
        <f t="shared" ref="G267" si="147">SUM(G262:G266)</f>
        <v>0</v>
      </c>
      <c r="H267" s="453"/>
      <c r="I267" s="13"/>
      <c r="J267" s="67"/>
      <c r="K267" s="67"/>
      <c r="L267" s="44"/>
      <c r="M267" s="1467" t="s">
        <v>140</v>
      </c>
      <c r="N267" s="1468"/>
      <c r="O267" s="1468"/>
      <c r="P267" s="1468"/>
      <c r="Q267" s="7">
        <f>SUM(Q262:Q266)</f>
        <v>0</v>
      </c>
      <c r="R267" s="7">
        <f t="shared" ref="R267" si="148">SUM(R262:R266)</f>
        <v>0</v>
      </c>
      <c r="S267" s="453"/>
      <c r="T267" s="13"/>
      <c r="U267" s="67"/>
      <c r="V267" s="67"/>
      <c r="W267" s="44"/>
      <c r="X267" s="1467" t="s">
        <v>140</v>
      </c>
      <c r="Y267" s="1468"/>
      <c r="Z267" s="1468"/>
      <c r="AA267" s="1468"/>
      <c r="AB267" s="7">
        <f>SUM(AB262:AB266)</f>
        <v>0</v>
      </c>
      <c r="AC267" s="7">
        <f t="shared" ref="AC267" si="149">SUM(AC262:AC266)</f>
        <v>0</v>
      </c>
      <c r="AD267" s="453"/>
      <c r="AE267" s="13"/>
      <c r="AF267" s="67"/>
      <c r="AG267" s="67"/>
      <c r="AH267" s="44"/>
    </row>
    <row r="268" spans="1:34" s="142" customFormat="1" x14ac:dyDescent="0.25">
      <c r="A268" s="1269">
        <v>268</v>
      </c>
      <c r="B268" s="1490" t="s">
        <v>1062</v>
      </c>
      <c r="C268" s="1491"/>
      <c r="D268" s="1491"/>
      <c r="E268" s="1491"/>
      <c r="F268" s="160">
        <f>F252+F259+F267</f>
        <v>0</v>
      </c>
      <c r="G268" s="159"/>
      <c r="H268" s="453"/>
      <c r="I268" s="13"/>
      <c r="J268" s="67"/>
      <c r="K268" s="67"/>
      <c r="L268" s="44"/>
      <c r="M268" s="1490" t="s">
        <v>1062</v>
      </c>
      <c r="N268" s="1491"/>
      <c r="O268" s="1491"/>
      <c r="P268" s="1491"/>
      <c r="Q268" s="160">
        <f>Q252+Q259+Q267</f>
        <v>0</v>
      </c>
      <c r="R268" s="159"/>
      <c r="S268" s="453"/>
      <c r="T268" s="13"/>
      <c r="U268" s="67"/>
      <c r="V268" s="67"/>
      <c r="W268" s="44"/>
      <c r="X268" s="1490" t="s">
        <v>1062</v>
      </c>
      <c r="Y268" s="1491"/>
      <c r="Z268" s="1491"/>
      <c r="AA268" s="1491"/>
      <c r="AB268" s="160">
        <f>AB252+AB259+AB267</f>
        <v>0</v>
      </c>
      <c r="AC268" s="159"/>
      <c r="AD268" s="453"/>
      <c r="AE268" s="13"/>
      <c r="AF268" s="67"/>
      <c r="AG268" s="67"/>
      <c r="AH268" s="44"/>
    </row>
    <row r="269" spans="1:34" x14ac:dyDescent="0.25">
      <c r="A269" s="1269">
        <v>269</v>
      </c>
      <c r="B269" s="1490" t="s">
        <v>1063</v>
      </c>
      <c r="C269" s="1491"/>
      <c r="D269" s="1491"/>
      <c r="E269" s="1491"/>
      <c r="F269" s="1491"/>
      <c r="G269" s="161">
        <f>SUM(G262:G266)</f>
        <v>0</v>
      </c>
      <c r="H269" s="454"/>
      <c r="I269" s="13"/>
      <c r="J269" s="67"/>
      <c r="K269" s="67"/>
      <c r="L269" s="46"/>
      <c r="M269" s="1490" t="s">
        <v>1063</v>
      </c>
      <c r="N269" s="1491"/>
      <c r="O269" s="1491"/>
      <c r="P269" s="1491"/>
      <c r="Q269" s="1491"/>
      <c r="R269" s="161">
        <f>SUM(R262:R266)</f>
        <v>0</v>
      </c>
      <c r="S269" s="454"/>
      <c r="T269" s="13"/>
      <c r="U269" s="67"/>
      <c r="V269" s="67"/>
      <c r="W269" s="46"/>
      <c r="X269" s="1490" t="s">
        <v>1063</v>
      </c>
      <c r="Y269" s="1491"/>
      <c r="Z269" s="1491"/>
      <c r="AA269" s="1491"/>
      <c r="AB269" s="1491"/>
      <c r="AC269" s="161">
        <f>SUM(AC262:AC266)</f>
        <v>0</v>
      </c>
      <c r="AD269" s="454"/>
      <c r="AE269" s="13"/>
      <c r="AF269" s="67"/>
      <c r="AG269" s="67"/>
      <c r="AH269" s="46"/>
    </row>
    <row r="270" spans="1:34" ht="75.95" customHeight="1" x14ac:dyDescent="0.25">
      <c r="A270" s="1269">
        <v>270</v>
      </c>
      <c r="B270" s="26" t="s">
        <v>715</v>
      </c>
      <c r="C270" s="615" t="s">
        <v>960</v>
      </c>
      <c r="D270" s="615" t="s">
        <v>961</v>
      </c>
      <c r="E270" s="615" t="s">
        <v>17</v>
      </c>
      <c r="F270" s="615" t="s">
        <v>18</v>
      </c>
      <c r="G270" s="615" t="s">
        <v>888</v>
      </c>
      <c r="H270" s="615" t="s">
        <v>138</v>
      </c>
      <c r="I270" s="37" t="s">
        <v>962</v>
      </c>
      <c r="J270" s="989"/>
      <c r="K270" s="249" t="s">
        <v>195</v>
      </c>
      <c r="M270" s="26" t="s">
        <v>715</v>
      </c>
      <c r="N270" s="615" t="s">
        <v>34</v>
      </c>
      <c r="O270" s="615" t="s">
        <v>33</v>
      </c>
      <c r="P270" s="615" t="s">
        <v>17</v>
      </c>
      <c r="Q270" s="615" t="s">
        <v>18</v>
      </c>
      <c r="R270" s="615" t="s">
        <v>888</v>
      </c>
      <c r="S270" s="615" t="s">
        <v>138</v>
      </c>
      <c r="T270" s="987"/>
      <c r="U270" s="248"/>
      <c r="V270" s="249" t="s">
        <v>195</v>
      </c>
      <c r="X270" s="26" t="s">
        <v>715</v>
      </c>
      <c r="Y270" s="615" t="s">
        <v>34</v>
      </c>
      <c r="Z270" s="615" t="s">
        <v>33</v>
      </c>
      <c r="AA270" s="615" t="s">
        <v>17</v>
      </c>
      <c r="AB270" s="615" t="s">
        <v>18</v>
      </c>
      <c r="AC270" s="615" t="s">
        <v>888</v>
      </c>
      <c r="AD270" s="615" t="s">
        <v>138</v>
      </c>
      <c r="AE270" s="987"/>
      <c r="AF270" s="248"/>
      <c r="AG270" s="249" t="s">
        <v>195</v>
      </c>
    </row>
    <row r="271" spans="1:34" x14ac:dyDescent="0.25">
      <c r="A271" s="1269">
        <v>271</v>
      </c>
      <c r="B271" s="1894"/>
      <c r="C271" s="1931"/>
      <c r="D271" s="1931"/>
      <c r="E271" s="1896"/>
      <c r="F271" s="1897"/>
      <c r="G271" s="1897"/>
      <c r="H271" s="1897"/>
      <c r="I271" s="27">
        <f>IF(C271=0,0,((E271/360)*($I$242-C271))*(G271+H271))</f>
        <v>0</v>
      </c>
      <c r="J271" s="67"/>
      <c r="K271" s="250">
        <f>IF((G$292+H$292+H$284+I$284)=0,0,($E271*((G271+H271+I271)/(G$292+H$292+H$284+I$284))))</f>
        <v>0</v>
      </c>
      <c r="L271" s="269" t="e">
        <f>E271*((G271+H271+I271)/(G$267+G$292+H$292+H$284+I$284))</f>
        <v>#DIV/0!</v>
      </c>
      <c r="M271" s="1894"/>
      <c r="N271" s="1943"/>
      <c r="O271" s="1943"/>
      <c r="P271" s="1896"/>
      <c r="Q271" s="1897"/>
      <c r="R271" s="1897"/>
      <c r="S271" s="1897"/>
      <c r="T271" s="460"/>
      <c r="U271" s="67"/>
      <c r="V271" s="250">
        <f>IF((R$292+S$292+S$284+T$284)=0,0,($E271*((R271+S271+T271)/(R$292+S$292+S$284+T$284))))</f>
        <v>0</v>
      </c>
      <c r="W271" s="269" t="e">
        <f>P271*((R271+S271+T271)/(R$267+R$292+S$292+S$284+T$284))</f>
        <v>#DIV/0!</v>
      </c>
      <c r="X271" s="578"/>
      <c r="Y271" s="579"/>
      <c r="Z271" s="579"/>
      <c r="AA271" s="122"/>
      <c r="AB271" s="581"/>
      <c r="AC271" s="581"/>
      <c r="AD271" s="581"/>
      <c r="AE271" s="460"/>
      <c r="AF271" s="67"/>
      <c r="AG271" s="250">
        <f>IF((AC$292+AD$292+AD$284+AE$284)=0,0,($E271*((AC271+AD271+AE271)/(AC$292+AD$292+AD$284+AE$284))))</f>
        <v>0</v>
      </c>
      <c r="AH271" s="269" t="e">
        <f>AA271*((AC271+AD271+AE271)/(AC$267+AC$292+AD$292+AD$284+AE$284))</f>
        <v>#DIV/0!</v>
      </c>
    </row>
    <row r="272" spans="1:34" x14ac:dyDescent="0.25">
      <c r="A272" s="1269">
        <v>272</v>
      </c>
      <c r="B272" s="1894"/>
      <c r="C272" s="1931"/>
      <c r="D272" s="1931"/>
      <c r="E272" s="1896"/>
      <c r="F272" s="1897"/>
      <c r="G272" s="1897"/>
      <c r="H272" s="1897"/>
      <c r="I272" s="27">
        <f t="shared" ref="I272:I282" si="150">IF(C272=0,0,((E272/360)*($I$242-C272))*(G272+H272))</f>
        <v>0</v>
      </c>
      <c r="J272" s="67"/>
      <c r="K272" s="250">
        <f t="shared" ref="K272:K282" si="151">IF((G$292+H$292+H$284+I$284)=0,0,($E272*((G272+H272+I272)/(G$292+H$292+H$284+I$284))))</f>
        <v>0</v>
      </c>
      <c r="L272" s="269" t="e">
        <f t="shared" ref="L272:L282" si="152">E272*((G272+H272+I272)/(G$267+G$292+H$292+H$284+I$284))</f>
        <v>#DIV/0!</v>
      </c>
      <c r="M272" s="1894"/>
      <c r="N272" s="1943"/>
      <c r="O272" s="1895"/>
      <c r="P272" s="1896"/>
      <c r="Q272" s="1897"/>
      <c r="R272" s="1897"/>
      <c r="S272" s="1897"/>
      <c r="T272" s="460"/>
      <c r="U272" s="67"/>
      <c r="V272" s="250">
        <f t="shared" ref="V272:V282" si="153">IF((R$292+S$292+S$284+T$284)=0,0,($E272*((R272+S272+T272)/(R$292+S$292+S$284+T$284))))</f>
        <v>0</v>
      </c>
      <c r="W272" s="269" t="e">
        <f t="shared" ref="W272:W282" si="154">P272*((R272+S272+T272)/(R$267+R$292+S$292+S$284+T$284))</f>
        <v>#DIV/0!</v>
      </c>
      <c r="X272" s="578"/>
      <c r="Y272" s="579"/>
      <c r="Z272" s="579"/>
      <c r="AA272" s="122"/>
      <c r="AB272" s="581"/>
      <c r="AC272" s="581"/>
      <c r="AD272" s="581"/>
      <c r="AE272" s="460"/>
      <c r="AF272" s="67"/>
      <c r="AG272" s="250">
        <f t="shared" ref="AG272:AG282" si="155">IF((AC$292+AD$292+AD$284+AE$284)=0,0,($E272*((AC272+AD272+AE272)/(AC$292+AD$292+AD$284+AE$284))))</f>
        <v>0</v>
      </c>
      <c r="AH272" s="269" t="e">
        <f t="shared" ref="AH272:AH282" si="156">AA272*((AC272+AD272+AE272)/(AC$267+AC$292+AD$292+AD$284+AE$284))</f>
        <v>#DIV/0!</v>
      </c>
    </row>
    <row r="273" spans="1:34" x14ac:dyDescent="0.25">
      <c r="A273" s="1269">
        <v>273</v>
      </c>
      <c r="B273" s="1894"/>
      <c r="C273" s="1931"/>
      <c r="D273" s="1931"/>
      <c r="E273" s="1896"/>
      <c r="F273" s="1897"/>
      <c r="G273" s="1897"/>
      <c r="H273" s="1897"/>
      <c r="I273" s="27">
        <f t="shared" si="150"/>
        <v>0</v>
      </c>
      <c r="J273" s="67"/>
      <c r="K273" s="250">
        <f t="shared" si="151"/>
        <v>0</v>
      </c>
      <c r="L273" s="269" t="e">
        <f t="shared" si="152"/>
        <v>#DIV/0!</v>
      </c>
      <c r="M273" s="1894"/>
      <c r="N273" s="1943"/>
      <c r="O273" s="1895"/>
      <c r="P273" s="1896"/>
      <c r="Q273" s="1897"/>
      <c r="R273" s="1897"/>
      <c r="S273" s="1897"/>
      <c r="T273" s="460"/>
      <c r="U273" s="67"/>
      <c r="V273" s="250">
        <f t="shared" si="153"/>
        <v>0</v>
      </c>
      <c r="W273" s="269" t="e">
        <f t="shared" si="154"/>
        <v>#DIV/0!</v>
      </c>
      <c r="X273" s="427"/>
      <c r="Y273" s="428"/>
      <c r="Z273" s="428"/>
      <c r="AA273" s="122"/>
      <c r="AB273" s="429"/>
      <c r="AC273" s="429"/>
      <c r="AD273" s="429"/>
      <c r="AE273" s="460"/>
      <c r="AF273" s="67"/>
      <c r="AG273" s="250">
        <f t="shared" si="155"/>
        <v>0</v>
      </c>
      <c r="AH273" s="269" t="e">
        <f t="shared" si="156"/>
        <v>#DIV/0!</v>
      </c>
    </row>
    <row r="274" spans="1:34" x14ac:dyDescent="0.25">
      <c r="A274" s="1269">
        <v>274</v>
      </c>
      <c r="B274" s="1894"/>
      <c r="C274" s="1931"/>
      <c r="D274" s="1931"/>
      <c r="E274" s="1896"/>
      <c r="F274" s="1897"/>
      <c r="G274" s="1897"/>
      <c r="H274" s="1897"/>
      <c r="I274" s="27">
        <f t="shared" si="150"/>
        <v>0</v>
      </c>
      <c r="J274" s="67"/>
      <c r="K274" s="250">
        <f t="shared" si="151"/>
        <v>0</v>
      </c>
      <c r="L274" s="269" t="e">
        <f t="shared" si="152"/>
        <v>#DIV/0!</v>
      </c>
      <c r="M274" s="1894"/>
      <c r="N274" s="1895"/>
      <c r="O274" s="1895"/>
      <c r="P274" s="1896"/>
      <c r="Q274" s="1897"/>
      <c r="R274" s="1897"/>
      <c r="S274" s="1897"/>
      <c r="T274" s="460"/>
      <c r="U274" s="67"/>
      <c r="V274" s="250">
        <f t="shared" si="153"/>
        <v>0</v>
      </c>
      <c r="W274" s="269" t="e">
        <f t="shared" si="154"/>
        <v>#DIV/0!</v>
      </c>
      <c r="X274" s="427"/>
      <c r="Y274" s="428"/>
      <c r="Z274" s="428"/>
      <c r="AA274" s="122"/>
      <c r="AB274" s="429"/>
      <c r="AC274" s="429"/>
      <c r="AD274" s="429"/>
      <c r="AE274" s="460"/>
      <c r="AF274" s="67"/>
      <c r="AG274" s="250">
        <f t="shared" si="155"/>
        <v>0</v>
      </c>
      <c r="AH274" s="269" t="e">
        <f t="shared" si="156"/>
        <v>#DIV/0!</v>
      </c>
    </row>
    <row r="275" spans="1:34" x14ac:dyDescent="0.25">
      <c r="A275" s="1269">
        <v>275</v>
      </c>
      <c r="B275" s="1894"/>
      <c r="C275" s="1931"/>
      <c r="D275" s="1931"/>
      <c r="E275" s="1896"/>
      <c r="F275" s="1897"/>
      <c r="G275" s="1897"/>
      <c r="H275" s="1897"/>
      <c r="I275" s="27">
        <f t="shared" si="150"/>
        <v>0</v>
      </c>
      <c r="J275" s="67"/>
      <c r="K275" s="250">
        <f t="shared" si="151"/>
        <v>0</v>
      </c>
      <c r="L275" s="269" t="e">
        <f t="shared" si="152"/>
        <v>#DIV/0!</v>
      </c>
      <c r="M275" s="1894"/>
      <c r="N275" s="1895"/>
      <c r="O275" s="1895"/>
      <c r="P275" s="1896"/>
      <c r="Q275" s="1897"/>
      <c r="R275" s="1897"/>
      <c r="S275" s="1897"/>
      <c r="T275" s="460"/>
      <c r="U275" s="67"/>
      <c r="V275" s="250">
        <f t="shared" si="153"/>
        <v>0</v>
      </c>
      <c r="W275" s="269" t="e">
        <f t="shared" si="154"/>
        <v>#DIV/0!</v>
      </c>
      <c r="X275" s="427"/>
      <c r="Y275" s="428"/>
      <c r="Z275" s="428"/>
      <c r="AA275" s="122"/>
      <c r="AB275" s="429"/>
      <c r="AC275" s="429"/>
      <c r="AD275" s="429"/>
      <c r="AE275" s="460"/>
      <c r="AF275" s="67"/>
      <c r="AG275" s="250">
        <f t="shared" si="155"/>
        <v>0</v>
      </c>
      <c r="AH275" s="269" t="e">
        <f t="shared" si="156"/>
        <v>#DIV/0!</v>
      </c>
    </row>
    <row r="276" spans="1:34" x14ac:dyDescent="0.25">
      <c r="A276" s="1269">
        <v>276</v>
      </c>
      <c r="B276" s="1894"/>
      <c r="C276" s="1931"/>
      <c r="D276" s="1931"/>
      <c r="E276" s="1896"/>
      <c r="F276" s="1897"/>
      <c r="G276" s="1897"/>
      <c r="H276" s="1897"/>
      <c r="I276" s="27">
        <f t="shared" si="150"/>
        <v>0</v>
      </c>
      <c r="J276" s="67"/>
      <c r="K276" s="250">
        <f t="shared" si="151"/>
        <v>0</v>
      </c>
      <c r="L276" s="269" t="e">
        <f t="shared" si="152"/>
        <v>#DIV/0!</v>
      </c>
      <c r="M276" s="1894"/>
      <c r="N276" s="1895"/>
      <c r="O276" s="1895"/>
      <c r="P276" s="1896"/>
      <c r="Q276" s="1897"/>
      <c r="R276" s="1897"/>
      <c r="S276" s="1897"/>
      <c r="T276" s="460"/>
      <c r="U276" s="67"/>
      <c r="V276" s="250">
        <f t="shared" si="153"/>
        <v>0</v>
      </c>
      <c r="W276" s="269" t="e">
        <f t="shared" si="154"/>
        <v>#DIV/0!</v>
      </c>
      <c r="X276" s="427"/>
      <c r="Y276" s="428"/>
      <c r="Z276" s="428"/>
      <c r="AA276" s="122"/>
      <c r="AB276" s="429"/>
      <c r="AC276" s="429"/>
      <c r="AD276" s="429"/>
      <c r="AE276" s="460"/>
      <c r="AF276" s="67"/>
      <c r="AG276" s="250">
        <f t="shared" si="155"/>
        <v>0</v>
      </c>
      <c r="AH276" s="269" t="e">
        <f t="shared" si="156"/>
        <v>#DIV/0!</v>
      </c>
    </row>
    <row r="277" spans="1:34" x14ac:dyDescent="0.25">
      <c r="A277" s="1269">
        <v>277</v>
      </c>
      <c r="B277" s="1894"/>
      <c r="C277" s="1931"/>
      <c r="D277" s="1931"/>
      <c r="E277" s="1896"/>
      <c r="F277" s="1897"/>
      <c r="G277" s="1897"/>
      <c r="H277" s="1897"/>
      <c r="I277" s="27">
        <f t="shared" si="150"/>
        <v>0</v>
      </c>
      <c r="J277" s="67"/>
      <c r="K277" s="250">
        <f t="shared" si="151"/>
        <v>0</v>
      </c>
      <c r="L277" s="269" t="e">
        <f t="shared" si="152"/>
        <v>#DIV/0!</v>
      </c>
      <c r="M277" s="1894"/>
      <c r="N277" s="1895"/>
      <c r="O277" s="1895"/>
      <c r="P277" s="1896"/>
      <c r="Q277" s="1897"/>
      <c r="R277" s="1897"/>
      <c r="S277" s="1897"/>
      <c r="T277" s="460"/>
      <c r="U277" s="67"/>
      <c r="V277" s="250">
        <f t="shared" si="153"/>
        <v>0</v>
      </c>
      <c r="W277" s="269" t="e">
        <f t="shared" si="154"/>
        <v>#DIV/0!</v>
      </c>
      <c r="X277" s="427"/>
      <c r="Y277" s="428"/>
      <c r="Z277" s="428"/>
      <c r="AA277" s="122"/>
      <c r="AB277" s="429"/>
      <c r="AC277" s="429"/>
      <c r="AD277" s="429"/>
      <c r="AE277" s="460"/>
      <c r="AF277" s="67"/>
      <c r="AG277" s="250">
        <f t="shared" si="155"/>
        <v>0</v>
      </c>
      <c r="AH277" s="269" t="e">
        <f t="shared" si="156"/>
        <v>#DIV/0!</v>
      </c>
    </row>
    <row r="278" spans="1:34" x14ac:dyDescent="0.25">
      <c r="A278" s="1269">
        <v>278</v>
      </c>
      <c r="B278" s="1894"/>
      <c r="C278" s="1931"/>
      <c r="D278" s="1931"/>
      <c r="E278" s="1896"/>
      <c r="F278" s="1897"/>
      <c r="G278" s="1897"/>
      <c r="H278" s="1897"/>
      <c r="I278" s="27">
        <f t="shared" si="150"/>
        <v>0</v>
      </c>
      <c r="J278" s="67"/>
      <c r="K278" s="250">
        <f t="shared" si="151"/>
        <v>0</v>
      </c>
      <c r="L278" s="269" t="e">
        <f t="shared" si="152"/>
        <v>#DIV/0!</v>
      </c>
      <c r="M278" s="1894"/>
      <c r="N278" s="1895"/>
      <c r="O278" s="1895"/>
      <c r="P278" s="1896"/>
      <c r="Q278" s="1897"/>
      <c r="R278" s="1897"/>
      <c r="S278" s="1897"/>
      <c r="T278" s="460"/>
      <c r="U278" s="67"/>
      <c r="V278" s="250">
        <f t="shared" si="153"/>
        <v>0</v>
      </c>
      <c r="W278" s="269" t="e">
        <f t="shared" si="154"/>
        <v>#DIV/0!</v>
      </c>
      <c r="X278" s="427"/>
      <c r="Y278" s="428"/>
      <c r="Z278" s="428"/>
      <c r="AA278" s="122"/>
      <c r="AB278" s="429"/>
      <c r="AC278" s="429"/>
      <c r="AD278" s="429"/>
      <c r="AE278" s="460"/>
      <c r="AF278" s="67"/>
      <c r="AG278" s="250">
        <f t="shared" si="155"/>
        <v>0</v>
      </c>
      <c r="AH278" s="269" t="e">
        <f t="shared" si="156"/>
        <v>#DIV/0!</v>
      </c>
    </row>
    <row r="279" spans="1:34" x14ac:dyDescent="0.25">
      <c r="A279" s="1269">
        <v>279</v>
      </c>
      <c r="B279" s="1894"/>
      <c r="C279" s="1931"/>
      <c r="D279" s="1931"/>
      <c r="E279" s="1896"/>
      <c r="F279" s="1897"/>
      <c r="G279" s="1897"/>
      <c r="H279" s="1897"/>
      <c r="I279" s="27">
        <f t="shared" si="150"/>
        <v>0</v>
      </c>
      <c r="J279" s="67"/>
      <c r="K279" s="250">
        <f t="shared" si="151"/>
        <v>0</v>
      </c>
      <c r="L279" s="269" t="e">
        <f t="shared" si="152"/>
        <v>#DIV/0!</v>
      </c>
      <c r="M279" s="1894"/>
      <c r="N279" s="1895"/>
      <c r="O279" s="1895"/>
      <c r="P279" s="1896"/>
      <c r="Q279" s="1897"/>
      <c r="R279" s="1897"/>
      <c r="S279" s="1897"/>
      <c r="T279" s="460"/>
      <c r="U279" s="67"/>
      <c r="V279" s="250">
        <f t="shared" si="153"/>
        <v>0</v>
      </c>
      <c r="W279" s="269" t="e">
        <f t="shared" si="154"/>
        <v>#DIV/0!</v>
      </c>
      <c r="X279" s="427"/>
      <c r="Y279" s="428"/>
      <c r="Z279" s="428"/>
      <c r="AA279" s="122"/>
      <c r="AB279" s="429"/>
      <c r="AC279" s="429"/>
      <c r="AD279" s="429"/>
      <c r="AE279" s="460"/>
      <c r="AF279" s="67"/>
      <c r="AG279" s="250">
        <f t="shared" si="155"/>
        <v>0</v>
      </c>
      <c r="AH279" s="269" t="e">
        <f t="shared" si="156"/>
        <v>#DIV/0!</v>
      </c>
    </row>
    <row r="280" spans="1:34" x14ac:dyDescent="0.25">
      <c r="A280" s="1269">
        <v>280</v>
      </c>
      <c r="B280" s="1894"/>
      <c r="C280" s="1931"/>
      <c r="D280" s="1931"/>
      <c r="E280" s="1896"/>
      <c r="F280" s="1897"/>
      <c r="G280" s="1897"/>
      <c r="H280" s="1897"/>
      <c r="I280" s="27">
        <f t="shared" si="150"/>
        <v>0</v>
      </c>
      <c r="J280" s="67"/>
      <c r="K280" s="250">
        <f t="shared" si="151"/>
        <v>0</v>
      </c>
      <c r="L280" s="269" t="e">
        <f t="shared" si="152"/>
        <v>#DIV/0!</v>
      </c>
      <c r="M280" s="1894"/>
      <c r="N280" s="1895"/>
      <c r="O280" s="1895"/>
      <c r="P280" s="1896"/>
      <c r="Q280" s="1897"/>
      <c r="R280" s="1897"/>
      <c r="S280" s="1897"/>
      <c r="T280" s="460"/>
      <c r="U280" s="67"/>
      <c r="V280" s="250">
        <f t="shared" si="153"/>
        <v>0</v>
      </c>
      <c r="W280" s="269" t="e">
        <f t="shared" si="154"/>
        <v>#DIV/0!</v>
      </c>
      <c r="X280" s="427"/>
      <c r="Y280" s="428"/>
      <c r="Z280" s="428"/>
      <c r="AA280" s="122"/>
      <c r="AB280" s="429"/>
      <c r="AC280" s="429"/>
      <c r="AD280" s="429"/>
      <c r="AE280" s="460"/>
      <c r="AF280" s="67"/>
      <c r="AG280" s="250">
        <f t="shared" si="155"/>
        <v>0</v>
      </c>
      <c r="AH280" s="269" t="e">
        <f t="shared" si="156"/>
        <v>#DIV/0!</v>
      </c>
    </row>
    <row r="281" spans="1:34" x14ac:dyDescent="0.25">
      <c r="A281" s="1269">
        <v>281</v>
      </c>
      <c r="B281" s="1894"/>
      <c r="C281" s="1931"/>
      <c r="D281" s="1931"/>
      <c r="E281" s="1896"/>
      <c r="F281" s="1897"/>
      <c r="G281" s="1897"/>
      <c r="H281" s="1897"/>
      <c r="I281" s="27">
        <f t="shared" si="150"/>
        <v>0</v>
      </c>
      <c r="J281" s="67"/>
      <c r="K281" s="250">
        <f t="shared" si="151"/>
        <v>0</v>
      </c>
      <c r="L281" s="269" t="e">
        <f t="shared" si="152"/>
        <v>#DIV/0!</v>
      </c>
      <c r="M281" s="1894"/>
      <c r="N281" s="1895"/>
      <c r="O281" s="1895"/>
      <c r="P281" s="1896"/>
      <c r="Q281" s="1897"/>
      <c r="R281" s="1897"/>
      <c r="S281" s="1897"/>
      <c r="T281" s="460"/>
      <c r="U281" s="67"/>
      <c r="V281" s="250">
        <f t="shared" si="153"/>
        <v>0</v>
      </c>
      <c r="W281" s="269" t="e">
        <f t="shared" si="154"/>
        <v>#DIV/0!</v>
      </c>
      <c r="X281" s="427"/>
      <c r="Y281" s="428"/>
      <c r="Z281" s="428"/>
      <c r="AA281" s="122"/>
      <c r="AB281" s="429"/>
      <c r="AC281" s="429"/>
      <c r="AD281" s="429"/>
      <c r="AE281" s="460"/>
      <c r="AF281" s="67"/>
      <c r="AG281" s="250">
        <f t="shared" si="155"/>
        <v>0</v>
      </c>
      <c r="AH281" s="269" t="e">
        <f t="shared" si="156"/>
        <v>#DIV/0!</v>
      </c>
    </row>
    <row r="282" spans="1:34" x14ac:dyDescent="0.25">
      <c r="A282" s="1269">
        <v>282</v>
      </c>
      <c r="B282" s="1894"/>
      <c r="C282" s="1931"/>
      <c r="D282" s="1931"/>
      <c r="E282" s="1896"/>
      <c r="F282" s="1897"/>
      <c r="G282" s="1897"/>
      <c r="H282" s="1897"/>
      <c r="I282" s="27">
        <f t="shared" si="150"/>
        <v>0</v>
      </c>
      <c r="J282" s="67"/>
      <c r="K282" s="250">
        <f t="shared" si="151"/>
        <v>0</v>
      </c>
      <c r="L282" s="269" t="e">
        <f t="shared" si="152"/>
        <v>#DIV/0!</v>
      </c>
      <c r="M282" s="1894"/>
      <c r="N282" s="1895"/>
      <c r="O282" s="1895"/>
      <c r="P282" s="1896"/>
      <c r="Q282" s="1897"/>
      <c r="R282" s="1897"/>
      <c r="S282" s="1897"/>
      <c r="T282" s="460"/>
      <c r="U282" s="67"/>
      <c r="V282" s="250">
        <f t="shared" si="153"/>
        <v>0</v>
      </c>
      <c r="W282" s="269" t="e">
        <f t="shared" si="154"/>
        <v>#DIV/0!</v>
      </c>
      <c r="X282" s="427"/>
      <c r="Y282" s="428"/>
      <c r="Z282" s="428"/>
      <c r="AA282" s="122"/>
      <c r="AB282" s="429"/>
      <c r="AC282" s="429"/>
      <c r="AD282" s="429"/>
      <c r="AE282" s="460"/>
      <c r="AF282" s="67"/>
      <c r="AG282" s="250">
        <f t="shared" si="155"/>
        <v>0</v>
      </c>
      <c r="AH282" s="269" t="e">
        <f t="shared" si="156"/>
        <v>#DIV/0!</v>
      </c>
    </row>
    <row r="283" spans="1:34" x14ac:dyDescent="0.25">
      <c r="A283" s="1269">
        <v>283</v>
      </c>
      <c r="B283" s="1467" t="s">
        <v>141</v>
      </c>
      <c r="C283" s="1468"/>
      <c r="D283" s="1468"/>
      <c r="E283" s="1468"/>
      <c r="F283" s="41">
        <f>SUM(F271:F282)</f>
        <v>0</v>
      </c>
      <c r="G283" s="41">
        <f>SUM(G271:G282)</f>
        <v>0</v>
      </c>
      <c r="H283" s="41">
        <f>SUM(H271:H282)</f>
        <v>0</v>
      </c>
      <c r="I283" s="986"/>
      <c r="J283" s="67"/>
      <c r="K283" s="67"/>
      <c r="L283" s="269"/>
      <c r="M283" s="1467" t="s">
        <v>141</v>
      </c>
      <c r="N283" s="1468"/>
      <c r="O283" s="1468"/>
      <c r="P283" s="1468"/>
      <c r="Q283" s="41">
        <f>SUM(Q271:Q282)</f>
        <v>0</v>
      </c>
      <c r="R283" s="41">
        <f>SUM(R271:R282)</f>
        <v>0</v>
      </c>
      <c r="S283" s="41">
        <f>SUM(S271:S282)</f>
        <v>0</v>
      </c>
      <c r="T283" s="986"/>
      <c r="U283" s="67"/>
      <c r="V283" s="67"/>
      <c r="W283" s="269"/>
      <c r="X283" s="1467" t="s">
        <v>141</v>
      </c>
      <c r="Y283" s="1468"/>
      <c r="Z283" s="1468"/>
      <c r="AA283" s="1468"/>
      <c r="AB283" s="41">
        <f>SUM(AB271:AB282)</f>
        <v>0</v>
      </c>
      <c r="AC283" s="41">
        <f>SUM(AC271:AC282)</f>
        <v>0</v>
      </c>
      <c r="AD283" s="41">
        <f>SUM(AD271:AD282)</f>
        <v>0</v>
      </c>
      <c r="AE283" s="986"/>
      <c r="AF283" s="67"/>
      <c r="AG283" s="67"/>
      <c r="AH283" s="269"/>
    </row>
    <row r="284" spans="1:34" s="391" customFormat="1" x14ac:dyDescent="0.25">
      <c r="A284" s="1269">
        <v>284</v>
      </c>
      <c r="B284" s="1521" t="s">
        <v>1064</v>
      </c>
      <c r="C284" s="1522"/>
      <c r="D284" s="1522"/>
      <c r="E284" s="1522"/>
      <c r="F284" s="1522"/>
      <c r="G284" s="1522"/>
      <c r="H284" s="162">
        <f>H283</f>
        <v>0</v>
      </c>
      <c r="I284" s="986"/>
      <c r="J284" s="67"/>
      <c r="K284" s="67"/>
      <c r="L284" s="269"/>
      <c r="M284" s="1521" t="s">
        <v>1064</v>
      </c>
      <c r="N284" s="1522"/>
      <c r="O284" s="1522"/>
      <c r="P284" s="1522"/>
      <c r="Q284" s="1522"/>
      <c r="R284" s="1522"/>
      <c r="S284" s="162">
        <f>S283</f>
        <v>0</v>
      </c>
      <c r="T284" s="986"/>
      <c r="U284" s="67"/>
      <c r="V284" s="67"/>
      <c r="W284" s="269"/>
      <c r="X284" s="1521" t="s">
        <v>1064</v>
      </c>
      <c r="Y284" s="1522"/>
      <c r="Z284" s="1522"/>
      <c r="AA284" s="1522"/>
      <c r="AB284" s="1522"/>
      <c r="AC284" s="1522"/>
      <c r="AD284" s="162">
        <f>AD283</f>
        <v>0</v>
      </c>
      <c r="AE284" s="986"/>
      <c r="AF284" s="67"/>
      <c r="AG284" s="67"/>
      <c r="AH284" s="269"/>
    </row>
    <row r="285" spans="1:34" ht="55.5" customHeight="1" x14ac:dyDescent="0.25">
      <c r="A285" s="1269">
        <v>285</v>
      </c>
      <c r="B285" s="26" t="s">
        <v>716</v>
      </c>
      <c r="C285" s="615" t="s">
        <v>960</v>
      </c>
      <c r="D285" s="615" t="s">
        <v>961</v>
      </c>
      <c r="E285" s="615" t="s">
        <v>17</v>
      </c>
      <c r="F285" s="616" t="s">
        <v>18</v>
      </c>
      <c r="G285" s="615" t="s">
        <v>888</v>
      </c>
      <c r="H285" s="617" t="s">
        <v>139</v>
      </c>
      <c r="I285" s="37" t="s">
        <v>962</v>
      </c>
      <c r="J285" s="67"/>
      <c r="K285" s="249" t="s">
        <v>195</v>
      </c>
      <c r="L285" s="269"/>
      <c r="M285" s="26" t="s">
        <v>716</v>
      </c>
      <c r="N285" s="615" t="s">
        <v>34</v>
      </c>
      <c r="O285" s="615" t="s">
        <v>33</v>
      </c>
      <c r="P285" s="615" t="s">
        <v>17</v>
      </c>
      <c r="Q285" s="616" t="s">
        <v>18</v>
      </c>
      <c r="R285" s="615" t="s">
        <v>888</v>
      </c>
      <c r="S285" s="617" t="s">
        <v>139</v>
      </c>
      <c r="T285" s="985"/>
      <c r="U285" s="67"/>
      <c r="V285" s="249" t="s">
        <v>195</v>
      </c>
      <c r="W285" s="269"/>
      <c r="X285" s="26" t="s">
        <v>716</v>
      </c>
      <c r="Y285" s="615" t="s">
        <v>34</v>
      </c>
      <c r="Z285" s="615" t="s">
        <v>33</v>
      </c>
      <c r="AA285" s="615" t="s">
        <v>17</v>
      </c>
      <c r="AB285" s="616" t="s">
        <v>18</v>
      </c>
      <c r="AC285" s="615" t="s">
        <v>888</v>
      </c>
      <c r="AD285" s="617" t="s">
        <v>139</v>
      </c>
      <c r="AE285" s="985"/>
      <c r="AF285" s="67"/>
      <c r="AG285" s="249" t="s">
        <v>195</v>
      </c>
      <c r="AH285" s="269"/>
    </row>
    <row r="286" spans="1:34" x14ac:dyDescent="0.25">
      <c r="A286" s="1269">
        <v>286</v>
      </c>
      <c r="B286" s="1894"/>
      <c r="C286" s="1931"/>
      <c r="D286" s="1931"/>
      <c r="E286" s="1896"/>
      <c r="F286" s="1897"/>
      <c r="G286" s="1897"/>
      <c r="H286" s="1924"/>
      <c r="I286" s="27">
        <f>IF(C286=0,0,((E286/360)*($I$242-C286))*(G286+H286))</f>
        <v>0</v>
      </c>
      <c r="J286" s="67"/>
      <c r="K286" s="250">
        <f>IF((G$292+H$292+H$284+I$284)=0,0,($E286*((G286+H286)/(G$292+H$292+H$284+I$284))))</f>
        <v>0</v>
      </c>
      <c r="L286" s="269" t="e">
        <f>E286*((G286+H286)/(G$267+G$292+H$292+H$284+I$284))</f>
        <v>#DIV/0!</v>
      </c>
      <c r="M286" s="1894"/>
      <c r="N286" s="1943"/>
      <c r="O286" s="1895"/>
      <c r="P286" s="1896"/>
      <c r="Q286" s="1897"/>
      <c r="R286" s="1897"/>
      <c r="S286" s="1924"/>
      <c r="T286" s="460"/>
      <c r="U286" s="67"/>
      <c r="V286" s="250">
        <f>IF((R$292+S$292+S$284+T$284)=0,0,($E286*((R286+S286)/(R$292+S$292+S$284+T$284))))</f>
        <v>0</v>
      </c>
      <c r="W286" s="269" t="e">
        <f>P286*((R286+S286)/(R$267+R$292+S$292+S$284+T$284))</f>
        <v>#DIV/0!</v>
      </c>
      <c r="X286" s="578"/>
      <c r="Y286" s="579"/>
      <c r="Z286" s="579"/>
      <c r="AA286" s="122"/>
      <c r="AB286" s="581"/>
      <c r="AC286" s="581"/>
      <c r="AD286" s="133"/>
      <c r="AE286" s="460"/>
      <c r="AF286" s="67"/>
      <c r="AG286" s="250">
        <f>IF((AC$292+AD$292+AD$284+AE$284)=0,0,($E286*((AC286+AD286)/(AC$292+AD$292+AD$284+AE$284))))</f>
        <v>0</v>
      </c>
      <c r="AH286" s="269" t="e">
        <f>AA286*((AC286+AD286)/(AC$267+AC$292+AD$292+AD$284+AE$284))</f>
        <v>#DIV/0!</v>
      </c>
    </row>
    <row r="287" spans="1:34" x14ac:dyDescent="0.25">
      <c r="A287" s="1269">
        <v>287</v>
      </c>
      <c r="B287" s="1894"/>
      <c r="C287" s="1931"/>
      <c r="D287" s="1931"/>
      <c r="E287" s="1896"/>
      <c r="F287" s="1897"/>
      <c r="G287" s="1897"/>
      <c r="H287" s="1924"/>
      <c r="I287" s="27">
        <f t="shared" ref="I287:I290" si="157">IF(C287=0,0,((E287/360)*($I$242-C287))*(G287+H287))</f>
        <v>0</v>
      </c>
      <c r="J287" s="67"/>
      <c r="K287" s="250">
        <f t="shared" ref="K287:K290" si="158">IF((G$292+H$292+H$284+I$284)=0,0,($E287*((G287+H287)/(G$292+H$292+H$284+I$284))))</f>
        <v>0</v>
      </c>
      <c r="L287" s="269" t="e">
        <f t="shared" ref="L287:L290" si="159">E287*((G287+H287)/(G$267+G$292+H$292+H$284+I$284))</f>
        <v>#DIV/0!</v>
      </c>
      <c r="M287" s="1894"/>
      <c r="N287" s="1895"/>
      <c r="O287" s="1895"/>
      <c r="P287" s="1896"/>
      <c r="Q287" s="1897"/>
      <c r="R287" s="1897"/>
      <c r="S287" s="1924"/>
      <c r="T287" s="460"/>
      <c r="U287" s="67"/>
      <c r="V287" s="250">
        <f t="shared" ref="V287:V290" si="160">IF((R$292+S$292+S$284+T$284)=0,0,($E287*((R287+S287)/(R$292+S$292+S$284+T$284))))</f>
        <v>0</v>
      </c>
      <c r="W287" s="269" t="e">
        <f t="shared" ref="W287:W290" si="161">P287*((R287+S287)/(R$267+R$292+S$292+S$284+T$284))</f>
        <v>#DIV/0!</v>
      </c>
      <c r="X287" s="578"/>
      <c r="Y287" s="579"/>
      <c r="Z287" s="579"/>
      <c r="AA287" s="122"/>
      <c r="AB287" s="581"/>
      <c r="AC287" s="581"/>
      <c r="AD287" s="133"/>
      <c r="AE287" s="460"/>
      <c r="AF287" s="67"/>
      <c r="AG287" s="250">
        <f t="shared" ref="AG287:AG290" si="162">IF((AC$292+AD$292+AD$284+AE$284)=0,0,($E287*((AC287+AD287)/(AC$292+AD$292+AD$284+AE$284))))</f>
        <v>0</v>
      </c>
      <c r="AH287" s="269" t="e">
        <f t="shared" ref="AH287:AH290" si="163">AA287*((AC287+AD287)/(AC$267+AC$292+AD$292+AD$284+AE$284))</f>
        <v>#DIV/0!</v>
      </c>
    </row>
    <row r="288" spans="1:34" x14ac:dyDescent="0.25">
      <c r="A288" s="1269">
        <v>288</v>
      </c>
      <c r="B288" s="1894"/>
      <c r="C288" s="1931"/>
      <c r="D288" s="1931"/>
      <c r="E288" s="1896"/>
      <c r="F288" s="1897"/>
      <c r="G288" s="1897"/>
      <c r="H288" s="1924"/>
      <c r="I288" s="27">
        <f t="shared" si="157"/>
        <v>0</v>
      </c>
      <c r="J288" s="67"/>
      <c r="K288" s="250">
        <f t="shared" si="158"/>
        <v>0</v>
      </c>
      <c r="L288" s="269" t="e">
        <f t="shared" si="159"/>
        <v>#DIV/0!</v>
      </c>
      <c r="M288" s="1894"/>
      <c r="N288" s="1895"/>
      <c r="O288" s="1895"/>
      <c r="P288" s="1896"/>
      <c r="Q288" s="1897"/>
      <c r="R288" s="1897"/>
      <c r="S288" s="1924"/>
      <c r="T288" s="460"/>
      <c r="U288" s="67"/>
      <c r="V288" s="250">
        <f t="shared" si="160"/>
        <v>0</v>
      </c>
      <c r="W288" s="269" t="e">
        <f t="shared" si="161"/>
        <v>#DIV/0!</v>
      </c>
      <c r="X288" s="427"/>
      <c r="Y288" s="428"/>
      <c r="Z288" s="428"/>
      <c r="AA288" s="122"/>
      <c r="AB288" s="429"/>
      <c r="AC288" s="429"/>
      <c r="AD288" s="133"/>
      <c r="AE288" s="460"/>
      <c r="AF288" s="67"/>
      <c r="AG288" s="250">
        <f t="shared" si="162"/>
        <v>0</v>
      </c>
      <c r="AH288" s="269" t="e">
        <f t="shared" si="163"/>
        <v>#DIV/0!</v>
      </c>
    </row>
    <row r="289" spans="1:34" x14ac:dyDescent="0.25">
      <c r="A289" s="1269">
        <v>289</v>
      </c>
      <c r="B289" s="1894"/>
      <c r="C289" s="1931"/>
      <c r="D289" s="1931"/>
      <c r="E289" s="1896"/>
      <c r="F289" s="1897"/>
      <c r="G289" s="1897"/>
      <c r="H289" s="1924"/>
      <c r="I289" s="27">
        <f t="shared" si="157"/>
        <v>0</v>
      </c>
      <c r="J289" s="67"/>
      <c r="K289" s="250">
        <f t="shared" si="158"/>
        <v>0</v>
      </c>
      <c r="L289" s="269" t="e">
        <f t="shared" si="159"/>
        <v>#DIV/0!</v>
      </c>
      <c r="M289" s="1894"/>
      <c r="N289" s="1895"/>
      <c r="O289" s="1895"/>
      <c r="P289" s="1896"/>
      <c r="Q289" s="1897"/>
      <c r="R289" s="1897"/>
      <c r="S289" s="1924"/>
      <c r="T289" s="460"/>
      <c r="U289" s="67"/>
      <c r="V289" s="250">
        <f t="shared" si="160"/>
        <v>0</v>
      </c>
      <c r="W289" s="269" t="e">
        <f t="shared" si="161"/>
        <v>#DIV/0!</v>
      </c>
      <c r="X289" s="427"/>
      <c r="Y289" s="428"/>
      <c r="Z289" s="428"/>
      <c r="AA289" s="122"/>
      <c r="AB289" s="429"/>
      <c r="AC289" s="429"/>
      <c r="AD289" s="133"/>
      <c r="AE289" s="460"/>
      <c r="AF289" s="67"/>
      <c r="AG289" s="250">
        <f t="shared" si="162"/>
        <v>0</v>
      </c>
      <c r="AH289" s="269" t="e">
        <f t="shared" si="163"/>
        <v>#DIV/0!</v>
      </c>
    </row>
    <row r="290" spans="1:34" x14ac:dyDescent="0.25">
      <c r="A290" s="1269">
        <v>290</v>
      </c>
      <c r="B290" s="1894"/>
      <c r="C290" s="1931"/>
      <c r="D290" s="1931"/>
      <c r="E290" s="1896"/>
      <c r="F290" s="1897"/>
      <c r="G290" s="1897"/>
      <c r="H290" s="1924"/>
      <c r="I290" s="27">
        <f t="shared" si="157"/>
        <v>0</v>
      </c>
      <c r="J290" s="67"/>
      <c r="K290" s="250">
        <f t="shared" si="158"/>
        <v>0</v>
      </c>
      <c r="L290" s="269" t="e">
        <f t="shared" si="159"/>
        <v>#DIV/0!</v>
      </c>
      <c r="M290" s="1894"/>
      <c r="N290" s="1895"/>
      <c r="O290" s="1895"/>
      <c r="P290" s="1896"/>
      <c r="Q290" s="1897"/>
      <c r="R290" s="1897"/>
      <c r="S290" s="1924"/>
      <c r="T290" s="460"/>
      <c r="U290" s="67"/>
      <c r="V290" s="250">
        <f t="shared" si="160"/>
        <v>0</v>
      </c>
      <c r="W290" s="269" t="e">
        <f t="shared" si="161"/>
        <v>#DIV/0!</v>
      </c>
      <c r="X290" s="427"/>
      <c r="Y290" s="428"/>
      <c r="Z290" s="428"/>
      <c r="AA290" s="122"/>
      <c r="AB290" s="429"/>
      <c r="AC290" s="429"/>
      <c r="AD290" s="133"/>
      <c r="AE290" s="460"/>
      <c r="AF290" s="67"/>
      <c r="AG290" s="250">
        <f t="shared" si="162"/>
        <v>0</v>
      </c>
      <c r="AH290" s="269" t="e">
        <f t="shared" si="163"/>
        <v>#DIV/0!</v>
      </c>
    </row>
    <row r="291" spans="1:34" x14ac:dyDescent="0.25">
      <c r="A291" s="1269">
        <v>291</v>
      </c>
      <c r="B291" s="1492" t="s">
        <v>35</v>
      </c>
      <c r="C291" s="1493"/>
      <c r="D291" s="1493"/>
      <c r="E291" s="1493"/>
      <c r="F291" s="42">
        <f>SUM(F286:F290)</f>
        <v>0</v>
      </c>
      <c r="G291" s="42">
        <f>SUM(G286:G290)</f>
        <v>0</v>
      </c>
      <c r="H291" s="458">
        <f>SUM(H286:H290)</f>
        <v>0</v>
      </c>
      <c r="I291" s="461"/>
      <c r="J291" s="67"/>
      <c r="K291" s="70"/>
      <c r="M291" s="1492" t="s">
        <v>35</v>
      </c>
      <c r="N291" s="1493"/>
      <c r="O291" s="1493"/>
      <c r="P291" s="1493"/>
      <c r="Q291" s="42">
        <f>SUM(Q286:Q290)</f>
        <v>0</v>
      </c>
      <c r="R291" s="42">
        <f>SUM(R286:R290)</f>
        <v>0</v>
      </c>
      <c r="S291" s="458">
        <f>SUM(S286:S290)</f>
        <v>0</v>
      </c>
      <c r="T291" s="461"/>
      <c r="U291" s="67"/>
      <c r="V291" s="391"/>
      <c r="X291" s="1492" t="s">
        <v>35</v>
      </c>
      <c r="Y291" s="1493"/>
      <c r="Z291" s="1493"/>
      <c r="AA291" s="1493"/>
      <c r="AB291" s="42">
        <f>SUM(AB286:AB290)</f>
        <v>0</v>
      </c>
      <c r="AC291" s="42">
        <f>SUM(AC286:AC290)</f>
        <v>0</v>
      </c>
      <c r="AD291" s="458">
        <f>SUM(AD286:AD290)</f>
        <v>0</v>
      </c>
      <c r="AE291" s="461"/>
      <c r="AF291" s="67"/>
      <c r="AG291" s="391"/>
    </row>
    <row r="292" spans="1:34" ht="15.75" thickBot="1" x14ac:dyDescent="0.3">
      <c r="A292" s="1269">
        <v>292</v>
      </c>
      <c r="B292" s="1490" t="s">
        <v>1065</v>
      </c>
      <c r="C292" s="1491"/>
      <c r="D292" s="1491"/>
      <c r="E292" s="1491"/>
      <c r="F292" s="162">
        <f>F283+F291</f>
        <v>0</v>
      </c>
      <c r="G292" s="162">
        <f>G283+G291</f>
        <v>0</v>
      </c>
      <c r="H292" s="459">
        <f>H291</f>
        <v>0</v>
      </c>
      <c r="I292" s="462"/>
      <c r="J292" s="67"/>
      <c r="K292" s="65"/>
      <c r="M292" s="1490" t="s">
        <v>1065</v>
      </c>
      <c r="N292" s="1491"/>
      <c r="O292" s="1491"/>
      <c r="P292" s="1491"/>
      <c r="Q292" s="162">
        <f>Q283+Q291</f>
        <v>0</v>
      </c>
      <c r="R292" s="162">
        <f>R283+R291</f>
        <v>0</v>
      </c>
      <c r="S292" s="459">
        <f>S291</f>
        <v>0</v>
      </c>
      <c r="T292" s="462"/>
      <c r="U292" s="67"/>
      <c r="V292" s="65"/>
      <c r="X292" s="1490" t="s">
        <v>1065</v>
      </c>
      <c r="Y292" s="1491"/>
      <c r="Z292" s="1491"/>
      <c r="AA292" s="1491"/>
      <c r="AB292" s="162">
        <f>AB283+AB291</f>
        <v>0</v>
      </c>
      <c r="AC292" s="162">
        <f>AC283+AC291</f>
        <v>0</v>
      </c>
      <c r="AD292" s="459">
        <f>AD291</f>
        <v>0</v>
      </c>
      <c r="AE292" s="462"/>
      <c r="AF292" s="67"/>
      <c r="AG292" s="65"/>
    </row>
    <row r="293" spans="1:34" ht="15.75" thickBot="1" x14ac:dyDescent="0.3">
      <c r="A293" s="1269">
        <v>293</v>
      </c>
      <c r="B293" s="1494" t="s">
        <v>890</v>
      </c>
      <c r="C293" s="1495"/>
      <c r="D293" s="1495"/>
      <c r="E293" s="1495"/>
      <c r="F293" s="1495"/>
      <c r="G293" s="1495"/>
      <c r="H293" s="1496"/>
      <c r="I293" s="457">
        <f>G260+G269+G292+H284+I284+H292</f>
        <v>0</v>
      </c>
      <c r="J293" s="67"/>
      <c r="M293" s="1494" t="s">
        <v>890</v>
      </c>
      <c r="N293" s="1495"/>
      <c r="O293" s="1495"/>
      <c r="P293" s="1495"/>
      <c r="Q293" s="1495"/>
      <c r="R293" s="1495"/>
      <c r="S293" s="1496"/>
      <c r="T293" s="457">
        <f>R260+R269+R292+S284+T284+S292</f>
        <v>0</v>
      </c>
      <c r="U293" s="67"/>
      <c r="V293" s="391"/>
      <c r="X293" s="1494" t="s">
        <v>890</v>
      </c>
      <c r="Y293" s="1495"/>
      <c r="Z293" s="1495"/>
      <c r="AA293" s="1495"/>
      <c r="AB293" s="1495"/>
      <c r="AC293" s="1495"/>
      <c r="AD293" s="1496"/>
      <c r="AE293" s="457">
        <f>AC260+AC269+AC292+AD284+AE284+AD292</f>
        <v>0</v>
      </c>
      <c r="AF293" s="67"/>
      <c r="AG293" s="391"/>
    </row>
    <row r="294" spans="1:34" s="391" customFormat="1" x14ac:dyDescent="0.25">
      <c r="A294" s="1269">
        <v>294</v>
      </c>
      <c r="B294" s="978"/>
      <c r="C294" s="979"/>
      <c r="D294" s="979"/>
      <c r="E294" s="979"/>
      <c r="F294" s="979"/>
      <c r="G294" s="979"/>
      <c r="H294" s="980" t="s">
        <v>727</v>
      </c>
      <c r="I294" s="457">
        <f>G292+H284+I284+H292</f>
        <v>0</v>
      </c>
      <c r="J294" s="67"/>
      <c r="L294" s="44"/>
      <c r="M294" s="477"/>
      <c r="N294" s="478"/>
      <c r="O294" s="478"/>
      <c r="P294" s="478"/>
      <c r="Q294" s="478"/>
      <c r="R294" s="478"/>
      <c r="S294" s="479" t="s">
        <v>727</v>
      </c>
      <c r="T294" s="457">
        <f>R292+S284+T284+S292</f>
        <v>0</v>
      </c>
      <c r="U294" s="67"/>
      <c r="W294" s="44"/>
      <c r="X294" s="477"/>
      <c r="Y294" s="478"/>
      <c r="Z294" s="478"/>
      <c r="AA294" s="478"/>
      <c r="AB294" s="478"/>
      <c r="AC294" s="478"/>
      <c r="AD294" s="479" t="s">
        <v>727</v>
      </c>
      <c r="AE294" s="457">
        <f>AC292+AD284+AE284+AD292</f>
        <v>0</v>
      </c>
      <c r="AF294" s="67"/>
      <c r="AH294" s="44"/>
    </row>
    <row r="295" spans="1:34" s="391" customFormat="1" x14ac:dyDescent="0.25">
      <c r="A295" s="1269">
        <v>295</v>
      </c>
      <c r="B295" s="978"/>
      <c r="C295" s="979"/>
      <c r="D295" s="979"/>
      <c r="E295" s="979"/>
      <c r="F295" s="979"/>
      <c r="G295" s="979"/>
      <c r="H295" s="980" t="s">
        <v>731</v>
      </c>
      <c r="I295" s="474">
        <f>I294-(T294-'Input Sheet'!C56)</f>
        <v>0</v>
      </c>
      <c r="J295" s="67"/>
      <c r="L295" s="44"/>
      <c r="M295" s="477"/>
      <c r="N295" s="478"/>
      <c r="O295" s="478"/>
      <c r="P295" s="478"/>
      <c r="Q295" s="478"/>
      <c r="R295" s="478"/>
      <c r="S295" s="479" t="s">
        <v>731</v>
      </c>
      <c r="T295" s="474">
        <f>T294-(AE294-'Input Sheet'!N56)</f>
        <v>0</v>
      </c>
      <c r="U295" s="67"/>
      <c r="W295" s="44"/>
      <c r="X295" s="477"/>
      <c r="Y295" s="478"/>
      <c r="Z295" s="478"/>
      <c r="AA295" s="478"/>
      <c r="AB295" s="478"/>
      <c r="AC295" s="478"/>
      <c r="AD295" s="479" t="s">
        <v>731</v>
      </c>
      <c r="AE295" s="474">
        <f>AE294-(AP294-'Input Sheet'!Y56)</f>
        <v>0</v>
      </c>
      <c r="AF295" s="67"/>
      <c r="AH295" s="44"/>
    </row>
    <row r="296" spans="1:34" s="200" customFormat="1" x14ac:dyDescent="0.25">
      <c r="A296" s="1269">
        <v>296</v>
      </c>
      <c r="B296" s="1497" t="s">
        <v>192</v>
      </c>
      <c r="C296" s="1498"/>
      <c r="D296" s="1498"/>
      <c r="E296" s="1498"/>
      <c r="F296" s="1498"/>
      <c r="G296" s="1498"/>
      <c r="H296" s="1499"/>
      <c r="I296" s="201">
        <f>SUM(K262:K266)</f>
        <v>0</v>
      </c>
      <c r="J296" s="67"/>
      <c r="L296" s="44"/>
      <c r="M296" s="1497" t="s">
        <v>192</v>
      </c>
      <c r="N296" s="1498"/>
      <c r="O296" s="1498"/>
      <c r="P296" s="1498"/>
      <c r="Q296" s="1498"/>
      <c r="R296" s="1498"/>
      <c r="S296" s="1499"/>
      <c r="T296" s="201">
        <f>SUM(U262:U266)</f>
        <v>0</v>
      </c>
      <c r="U296" s="67"/>
      <c r="V296" s="391"/>
      <c r="W296" s="44"/>
      <c r="X296" s="1497" t="s">
        <v>192</v>
      </c>
      <c r="Y296" s="1498"/>
      <c r="Z296" s="1498"/>
      <c r="AA296" s="1498"/>
      <c r="AB296" s="1498"/>
      <c r="AC296" s="1498"/>
      <c r="AD296" s="1499"/>
      <c r="AE296" s="201">
        <f>SUM(AF262:AF266)</f>
        <v>0</v>
      </c>
      <c r="AF296" s="67"/>
      <c r="AG296" s="391"/>
      <c r="AH296" s="44"/>
    </row>
    <row r="297" spans="1:34" x14ac:dyDescent="0.25">
      <c r="A297" s="1269">
        <v>297</v>
      </c>
      <c r="B297" s="1504" t="s">
        <v>193</v>
      </c>
      <c r="C297" s="1505"/>
      <c r="D297" s="1505"/>
      <c r="E297" s="1505"/>
      <c r="F297" s="1505"/>
      <c r="G297" s="1505"/>
      <c r="H297" s="1506"/>
      <c r="I297" s="264">
        <f>SUM(K271:K290)</f>
        <v>0</v>
      </c>
      <c r="K297" s="202"/>
      <c r="M297" s="1504" t="s">
        <v>193</v>
      </c>
      <c r="N297" s="1505"/>
      <c r="O297" s="1505"/>
      <c r="P297" s="1505"/>
      <c r="Q297" s="1505"/>
      <c r="R297" s="1505"/>
      <c r="S297" s="1506"/>
      <c r="T297" s="264">
        <f>SUM(V271:V290)</f>
        <v>0</v>
      </c>
      <c r="U297" s="391"/>
      <c r="V297" s="202"/>
      <c r="X297" s="1504" t="s">
        <v>193</v>
      </c>
      <c r="Y297" s="1505"/>
      <c r="Z297" s="1505"/>
      <c r="AA297" s="1505"/>
      <c r="AB297" s="1505"/>
      <c r="AC297" s="1505"/>
      <c r="AD297" s="1506"/>
      <c r="AE297" s="264">
        <f>SUM(AG271:AG290)</f>
        <v>0</v>
      </c>
      <c r="AF297" s="391"/>
      <c r="AG297" s="202"/>
    </row>
    <row r="298" spans="1:34" s="182" customFormat="1" ht="15.75" thickBot="1" x14ac:dyDescent="0.3">
      <c r="A298" s="1269">
        <v>298</v>
      </c>
      <c r="B298" s="265"/>
      <c r="C298" s="266"/>
      <c r="D298" s="266"/>
      <c r="E298" s="431"/>
      <c r="F298" s="267"/>
      <c r="G298" s="266"/>
      <c r="H298" s="432" t="s">
        <v>350</v>
      </c>
      <c r="I298" s="268" t="e">
        <f>SUM(L262:L290)</f>
        <v>#DIV/0!</v>
      </c>
      <c r="J298" s="618"/>
      <c r="L298" s="44"/>
      <c r="M298" s="265"/>
      <c r="N298" s="266"/>
      <c r="O298" s="266"/>
      <c r="P298" s="431"/>
      <c r="Q298" s="267"/>
      <c r="R298" s="266"/>
      <c r="S298" s="432" t="s">
        <v>350</v>
      </c>
      <c r="T298" s="268" t="e">
        <f>SUM(W262:W290)</f>
        <v>#DIV/0!</v>
      </c>
      <c r="U298" s="203"/>
      <c r="V298" s="391"/>
      <c r="W298" s="44"/>
      <c r="X298" s="265"/>
      <c r="Y298" s="266"/>
      <c r="Z298" s="266"/>
      <c r="AA298" s="431"/>
      <c r="AB298" s="267"/>
      <c r="AC298" s="266"/>
      <c r="AD298" s="432" t="s">
        <v>350</v>
      </c>
      <c r="AE298" s="268" t="e">
        <f>SUM(AH262:AH290)</f>
        <v>#DIV/0!</v>
      </c>
      <c r="AF298" s="203"/>
      <c r="AG298" s="391"/>
      <c r="AH298" s="44"/>
    </row>
    <row r="299" spans="1:34" s="391" customFormat="1" x14ac:dyDescent="0.25">
      <c r="A299" s="1269">
        <v>299</v>
      </c>
      <c r="B299" s="400"/>
      <c r="C299" s="400"/>
      <c r="D299" s="400"/>
      <c r="E299" s="60"/>
      <c r="F299" s="14"/>
      <c r="G299" s="400"/>
      <c r="H299" s="60"/>
      <c r="I299" s="185"/>
      <c r="J299" s="203"/>
      <c r="L299" s="44"/>
      <c r="M299" s="400"/>
      <c r="N299" s="400"/>
      <c r="O299" s="400"/>
      <c r="P299" s="60"/>
      <c r="Q299" s="14"/>
      <c r="R299" s="400"/>
      <c r="S299" s="60"/>
      <c r="T299" s="185"/>
      <c r="U299" s="203"/>
      <c r="W299" s="44"/>
      <c r="X299" s="400"/>
      <c r="Y299" s="400"/>
      <c r="Z299" s="400"/>
      <c r="AA299" s="60"/>
      <c r="AB299" s="14"/>
      <c r="AC299" s="400"/>
      <c r="AD299" s="60"/>
      <c r="AE299" s="185"/>
      <c r="AF299" s="203"/>
      <c r="AH299" s="44"/>
    </row>
    <row r="300" spans="1:34" s="182" customFormat="1" ht="15.75" thickBot="1" x14ac:dyDescent="0.3">
      <c r="A300" s="1269">
        <v>300</v>
      </c>
      <c r="B300" s="6"/>
      <c r="C300" s="6"/>
      <c r="D300" s="6"/>
      <c r="E300" s="60"/>
      <c r="F300" s="14"/>
      <c r="G300" s="6"/>
      <c r="H300" s="60"/>
      <c r="I300" s="185"/>
      <c r="J300" s="181"/>
      <c r="L300" s="44"/>
      <c r="M300" s="6"/>
      <c r="N300" s="6"/>
      <c r="O300" s="6"/>
      <c r="P300" s="60"/>
      <c r="Q300" s="14"/>
      <c r="R300" s="6"/>
      <c r="S300" s="6"/>
      <c r="W300" s="44"/>
      <c r="X300" s="6"/>
      <c r="Y300" s="6"/>
      <c r="Z300" s="6"/>
      <c r="AA300" s="60"/>
      <c r="AB300" s="14"/>
      <c r="AC300" s="6"/>
      <c r="AD300" s="60"/>
      <c r="AE300" s="185"/>
      <c r="AF300" s="193"/>
      <c r="AG300" s="195"/>
      <c r="AH300" s="44"/>
    </row>
    <row r="301" spans="1:34" ht="18.75" x14ac:dyDescent="0.3">
      <c r="A301" s="1269">
        <v>301</v>
      </c>
      <c r="B301" s="1507" t="s">
        <v>142</v>
      </c>
      <c r="C301" s="1508"/>
      <c r="D301" s="1509"/>
      <c r="F301" s="1510" t="s">
        <v>144</v>
      </c>
      <c r="G301" s="1511"/>
      <c r="H301" s="1511"/>
      <c r="I301" s="1512"/>
      <c r="M301" s="1616" t="s">
        <v>142</v>
      </c>
      <c r="N301" s="1617"/>
      <c r="O301" s="1617"/>
      <c r="P301" s="152"/>
      <c r="Q301" s="1510" t="s">
        <v>144</v>
      </c>
      <c r="R301" s="1511"/>
      <c r="S301" s="1511"/>
      <c r="T301" s="1512"/>
      <c r="U301" s="152"/>
      <c r="V301" s="152"/>
      <c r="X301" s="1507" t="s">
        <v>142</v>
      </c>
      <c r="Y301" s="1508"/>
      <c r="Z301" s="1509"/>
      <c r="AB301" s="1510" t="s">
        <v>144</v>
      </c>
      <c r="AC301" s="1511"/>
      <c r="AD301" s="1511"/>
      <c r="AE301" s="1512"/>
    </row>
    <row r="302" spans="1:34" ht="33" customHeight="1" x14ac:dyDescent="0.25">
      <c r="A302" s="1269">
        <v>302</v>
      </c>
      <c r="B302" s="1613" t="s">
        <v>145</v>
      </c>
      <c r="C302" s="1516"/>
      <c r="D302" s="213" t="s">
        <v>143</v>
      </c>
      <c r="F302" s="1515" t="s">
        <v>146</v>
      </c>
      <c r="G302" s="1516"/>
      <c r="H302" s="1516"/>
      <c r="I302" s="22" t="s">
        <v>36</v>
      </c>
      <c r="M302" s="1513" t="s">
        <v>145</v>
      </c>
      <c r="N302" s="1514"/>
      <c r="O302" s="22" t="s">
        <v>143</v>
      </c>
      <c r="P302" s="152"/>
      <c r="Q302" s="1515" t="s">
        <v>146</v>
      </c>
      <c r="R302" s="1516"/>
      <c r="S302" s="1516"/>
      <c r="T302" s="22" t="s">
        <v>36</v>
      </c>
      <c r="U302" s="152"/>
      <c r="V302" s="152"/>
      <c r="X302" s="1513" t="s">
        <v>145</v>
      </c>
      <c r="Y302" s="1514"/>
      <c r="Z302" s="22" t="s">
        <v>143</v>
      </c>
      <c r="AB302" s="1515" t="s">
        <v>146</v>
      </c>
      <c r="AC302" s="1516"/>
      <c r="AD302" s="1516"/>
      <c r="AE302" s="22" t="s">
        <v>36</v>
      </c>
    </row>
    <row r="303" spans="1:34" x14ac:dyDescent="0.25">
      <c r="A303" s="1269">
        <v>303</v>
      </c>
      <c r="B303" s="1882"/>
      <c r="C303" s="1883"/>
      <c r="D303" s="1884"/>
      <c r="E303" s="142"/>
      <c r="F303" s="1882"/>
      <c r="G303" s="1883"/>
      <c r="H303" s="1883"/>
      <c r="I303" s="1884"/>
      <c r="M303" s="1915"/>
      <c r="N303" s="1941"/>
      <c r="O303" s="1884"/>
      <c r="P303" s="152"/>
      <c r="Q303" s="1882"/>
      <c r="R303" s="1883"/>
      <c r="S303" s="1883"/>
      <c r="T303" s="1884"/>
      <c r="U303" s="152"/>
      <c r="V303" s="152"/>
      <c r="X303" s="1478"/>
      <c r="Y303" s="1479"/>
      <c r="Z303" s="124"/>
      <c r="AB303" s="1476"/>
      <c r="AC303" s="1477"/>
      <c r="AD303" s="1477"/>
      <c r="AE303" s="124"/>
    </row>
    <row r="304" spans="1:34" s="142" customFormat="1" x14ac:dyDescent="0.25">
      <c r="A304" s="1269">
        <v>304</v>
      </c>
      <c r="B304" s="1915"/>
      <c r="C304" s="1916"/>
      <c r="D304" s="1884"/>
      <c r="F304" s="1915"/>
      <c r="G304" s="1926"/>
      <c r="H304" s="1916"/>
      <c r="I304" s="1884"/>
      <c r="L304" s="44"/>
      <c r="M304" s="1913"/>
      <c r="N304" s="1942"/>
      <c r="O304" s="1884"/>
      <c r="P304" s="152"/>
      <c r="Q304" s="1915"/>
      <c r="R304" s="1926"/>
      <c r="S304" s="1916"/>
      <c r="T304" s="1884"/>
      <c r="U304" s="152"/>
      <c r="V304" s="152"/>
      <c r="W304" s="44"/>
      <c r="X304" s="187"/>
      <c r="Y304" s="188"/>
      <c r="Z304" s="124"/>
      <c r="AA304" s="195"/>
      <c r="AB304" s="1478"/>
      <c r="AC304" s="1480"/>
      <c r="AD304" s="1481"/>
      <c r="AE304" s="124"/>
      <c r="AF304" s="195"/>
      <c r="AG304" s="195"/>
      <c r="AH304" s="44"/>
    </row>
    <row r="305" spans="1:34" x14ac:dyDescent="0.25">
      <c r="A305" s="1269">
        <v>305</v>
      </c>
      <c r="B305" s="1882"/>
      <c r="C305" s="1883"/>
      <c r="D305" s="1884"/>
      <c r="F305" s="1882"/>
      <c r="G305" s="1883"/>
      <c r="H305" s="1883"/>
      <c r="I305" s="1884"/>
      <c r="M305" s="1915"/>
      <c r="N305" s="1941"/>
      <c r="O305" s="1884"/>
      <c r="P305" s="152"/>
      <c r="Q305" s="1882"/>
      <c r="R305" s="1883"/>
      <c r="S305" s="1883"/>
      <c r="T305" s="1884"/>
      <c r="U305" s="152"/>
      <c r="V305" s="152"/>
      <c r="X305" s="1478"/>
      <c r="Y305" s="1479"/>
      <c r="Z305" s="124"/>
      <c r="AB305" s="1476"/>
      <c r="AC305" s="1477"/>
      <c r="AD305" s="1477"/>
      <c r="AE305" s="124"/>
    </row>
    <row r="306" spans="1:34" x14ac:dyDescent="0.25">
      <c r="A306" s="1269">
        <v>306</v>
      </c>
      <c r="B306" s="1882"/>
      <c r="C306" s="1883"/>
      <c r="D306" s="1884"/>
      <c r="F306" s="1500" t="s">
        <v>1068</v>
      </c>
      <c r="G306" s="1501"/>
      <c r="H306" s="1501"/>
      <c r="I306" s="1230">
        <f>SUM(I303:I305)</f>
        <v>0</v>
      </c>
      <c r="M306" s="1915"/>
      <c r="N306" s="1941"/>
      <c r="O306" s="1884"/>
      <c r="P306" s="152"/>
      <c r="Q306" s="1500" t="s">
        <v>1067</v>
      </c>
      <c r="R306" s="1501"/>
      <c r="S306" s="1501"/>
      <c r="T306" s="1230">
        <f>SUM(T303:T305)</f>
        <v>0</v>
      </c>
      <c r="U306" s="152"/>
      <c r="V306" s="152"/>
      <c r="X306" s="1478"/>
      <c r="Y306" s="1479"/>
      <c r="Z306" s="124"/>
      <c r="AB306" s="1500" t="s">
        <v>1068</v>
      </c>
      <c r="AC306" s="1501"/>
      <c r="AD306" s="1501"/>
      <c r="AE306" s="1230">
        <f>SUM(AE303:AE305)</f>
        <v>0</v>
      </c>
    </row>
    <row r="307" spans="1:34" x14ac:dyDescent="0.25">
      <c r="A307" s="1269">
        <v>307</v>
      </c>
      <c r="B307" s="1882"/>
      <c r="C307" s="1883"/>
      <c r="D307" s="1884"/>
      <c r="F307" s="1502" t="s">
        <v>147</v>
      </c>
      <c r="G307" s="1503"/>
      <c r="H307" s="1503"/>
      <c r="I307" s="236" t="s">
        <v>36</v>
      </c>
      <c r="M307" s="1915"/>
      <c r="N307" s="1941"/>
      <c r="O307" s="1884"/>
      <c r="P307" s="152"/>
      <c r="Q307" s="1502" t="s">
        <v>147</v>
      </c>
      <c r="R307" s="1503"/>
      <c r="S307" s="1503"/>
      <c r="T307" s="169" t="s">
        <v>36</v>
      </c>
      <c r="U307" s="152"/>
      <c r="V307" s="152"/>
      <c r="X307" s="1478"/>
      <c r="Y307" s="1479"/>
      <c r="Z307" s="124"/>
      <c r="AB307" s="1502" t="s">
        <v>147</v>
      </c>
      <c r="AC307" s="1503"/>
      <c r="AD307" s="1503"/>
      <c r="AE307" s="236" t="s">
        <v>36</v>
      </c>
    </row>
    <row r="308" spans="1:34" x14ac:dyDescent="0.25">
      <c r="A308" s="1269">
        <v>308</v>
      </c>
      <c r="B308" s="1882"/>
      <c r="C308" s="1883"/>
      <c r="D308" s="1884"/>
      <c r="F308" s="1882"/>
      <c r="G308" s="1883"/>
      <c r="H308" s="1883"/>
      <c r="I308" s="1884"/>
      <c r="M308" s="1915"/>
      <c r="N308" s="1941"/>
      <c r="O308" s="1884"/>
      <c r="P308" s="152"/>
      <c r="Q308" s="1882"/>
      <c r="R308" s="1883"/>
      <c r="S308" s="1883"/>
      <c r="T308" s="1884"/>
      <c r="U308" s="152"/>
      <c r="V308" s="152"/>
      <c r="X308" s="1478"/>
      <c r="Y308" s="1479"/>
      <c r="Z308" s="124"/>
      <c r="AB308" s="1476"/>
      <c r="AC308" s="1477"/>
      <c r="AD308" s="1477"/>
      <c r="AE308" s="124"/>
    </row>
    <row r="309" spans="1:34" s="142" customFormat="1" x14ac:dyDescent="0.25">
      <c r="A309" s="1269">
        <v>309</v>
      </c>
      <c r="B309" s="1915"/>
      <c r="C309" s="1916"/>
      <c r="D309" s="1884"/>
      <c r="F309" s="1915"/>
      <c r="G309" s="1926"/>
      <c r="H309" s="1916"/>
      <c r="I309" s="1884"/>
      <c r="L309" s="44"/>
      <c r="M309" s="1913"/>
      <c r="N309" s="1942"/>
      <c r="O309" s="1884"/>
      <c r="P309" s="152"/>
      <c r="Q309" s="1915"/>
      <c r="R309" s="1926"/>
      <c r="S309" s="1916"/>
      <c r="T309" s="1884"/>
      <c r="U309" s="152"/>
      <c r="V309" s="152"/>
      <c r="W309" s="44"/>
      <c r="X309" s="187"/>
      <c r="Y309" s="188"/>
      <c r="Z309" s="124"/>
      <c r="AA309" s="195"/>
      <c r="AB309" s="1478"/>
      <c r="AC309" s="1480"/>
      <c r="AD309" s="1481"/>
      <c r="AE309" s="124"/>
      <c r="AF309" s="195"/>
      <c r="AG309" s="195"/>
      <c r="AH309" s="44"/>
    </row>
    <row r="310" spans="1:34" x14ac:dyDescent="0.25">
      <c r="A310" s="1269">
        <v>310</v>
      </c>
      <c r="B310" s="1882"/>
      <c r="C310" s="1883"/>
      <c r="D310" s="1884"/>
      <c r="F310" s="1882"/>
      <c r="G310" s="1883"/>
      <c r="H310" s="1883"/>
      <c r="I310" s="1884"/>
      <c r="M310" s="1915"/>
      <c r="N310" s="1941"/>
      <c r="O310" s="1884"/>
      <c r="P310" s="152"/>
      <c r="Q310" s="1882"/>
      <c r="R310" s="1883"/>
      <c r="S310" s="1883"/>
      <c r="T310" s="1884"/>
      <c r="U310" s="152"/>
      <c r="V310" s="152"/>
      <c r="X310" s="1478"/>
      <c r="Y310" s="1479"/>
      <c r="Z310" s="124"/>
      <c r="AB310" s="1476"/>
      <c r="AC310" s="1477"/>
      <c r="AD310" s="1477"/>
      <c r="AE310" s="124"/>
    </row>
    <row r="311" spans="1:34" ht="15.75" thickBot="1" x14ac:dyDescent="0.3">
      <c r="A311" s="1269">
        <v>311</v>
      </c>
      <c r="B311" s="1488" t="s">
        <v>1066</v>
      </c>
      <c r="C311" s="1489"/>
      <c r="D311" s="1229">
        <f>SUM(D303:D310)</f>
        <v>0</v>
      </c>
      <c r="F311" s="1488" t="s">
        <v>1069</v>
      </c>
      <c r="G311" s="1489"/>
      <c r="H311" s="1489"/>
      <c r="I311" s="1229">
        <f>SUM(I308:I310)</f>
        <v>0</v>
      </c>
      <c r="M311" s="1486" t="s">
        <v>1066</v>
      </c>
      <c r="N311" s="1487"/>
      <c r="O311" s="1229">
        <f>SUM(O303:O310)</f>
        <v>0</v>
      </c>
      <c r="P311" s="152"/>
      <c r="Q311" s="1488" t="s">
        <v>1069</v>
      </c>
      <c r="R311" s="1489"/>
      <c r="S311" s="1489"/>
      <c r="T311" s="1229">
        <f>SUM(T308:T310)</f>
        <v>0</v>
      </c>
      <c r="U311" s="152"/>
      <c r="V311" s="152"/>
      <c r="X311" s="1486" t="s">
        <v>1066</v>
      </c>
      <c r="Y311" s="1487"/>
      <c r="Z311" s="1229">
        <f>SUM(Z303:Z310)</f>
        <v>0</v>
      </c>
      <c r="AB311" s="1488" t="s">
        <v>1069</v>
      </c>
      <c r="AC311" s="1489"/>
      <c r="AD311" s="1489"/>
      <c r="AE311" s="1229">
        <f>SUM(AE308:AE310)</f>
        <v>0</v>
      </c>
    </row>
    <row r="312" spans="1:34" x14ac:dyDescent="0.25">
      <c r="A312" s="1269">
        <v>312</v>
      </c>
      <c r="M312" s="152"/>
      <c r="N312" s="152"/>
      <c r="O312" s="152"/>
      <c r="P312" s="152"/>
      <c r="Q312" s="152"/>
      <c r="R312" s="152"/>
      <c r="S312" s="152"/>
      <c r="T312" s="152"/>
      <c r="U312" s="152"/>
      <c r="V312" s="152"/>
    </row>
    <row r="313" spans="1:34" ht="15.75" thickBot="1" x14ac:dyDescent="0.3">
      <c r="A313" s="1269">
        <v>313</v>
      </c>
      <c r="M313" s="152"/>
      <c r="N313" s="152"/>
      <c r="O313" s="152"/>
      <c r="P313" s="152"/>
      <c r="Q313" s="152"/>
      <c r="R313" s="152"/>
      <c r="S313" s="152"/>
      <c r="T313" s="152"/>
      <c r="U313" s="152"/>
      <c r="V313" s="152"/>
    </row>
    <row r="314" spans="1:34" ht="18.75" x14ac:dyDescent="0.3">
      <c r="A314" s="1269">
        <v>314</v>
      </c>
      <c r="B314" s="1510" t="s">
        <v>239</v>
      </c>
      <c r="C314" s="1511"/>
      <c r="D314" s="1511"/>
      <c r="E314" s="1511"/>
      <c r="F314" s="1512"/>
      <c r="M314" s="1510" t="s">
        <v>239</v>
      </c>
      <c r="N314" s="1511"/>
      <c r="O314" s="1511"/>
      <c r="P314" s="1511"/>
      <c r="Q314" s="1512"/>
      <c r="R314" s="152"/>
      <c r="S314" s="152"/>
      <c r="T314" s="152"/>
      <c r="U314" s="152"/>
      <c r="V314" s="152"/>
      <c r="X314" s="1510" t="s">
        <v>239</v>
      </c>
      <c r="Y314" s="1511"/>
      <c r="Z314" s="1511"/>
      <c r="AA314" s="1511"/>
      <c r="AB314" s="1512"/>
    </row>
    <row r="315" spans="1:34" ht="30.75" x14ac:dyDescent="0.3">
      <c r="A315" s="1269">
        <v>315</v>
      </c>
      <c r="B315" s="1484" t="s">
        <v>237</v>
      </c>
      <c r="C315" s="1485"/>
      <c r="D315" s="212" t="s">
        <v>234</v>
      </c>
      <c r="E315" s="212" t="s">
        <v>236</v>
      </c>
      <c r="F315" s="213" t="s">
        <v>235</v>
      </c>
      <c r="M315" s="1484" t="s">
        <v>237</v>
      </c>
      <c r="N315" s="1485"/>
      <c r="O315" s="212" t="s">
        <v>234</v>
      </c>
      <c r="P315" s="212" t="s">
        <v>236</v>
      </c>
      <c r="Q315" s="213" t="s">
        <v>235</v>
      </c>
      <c r="R315" s="152"/>
      <c r="S315" s="152"/>
      <c r="T315" s="152"/>
      <c r="U315" s="152"/>
      <c r="V315" s="152"/>
      <c r="X315" s="1484" t="s">
        <v>237</v>
      </c>
      <c r="Y315" s="1485"/>
      <c r="Z315" s="212" t="s">
        <v>234</v>
      </c>
      <c r="AA315" s="212" t="s">
        <v>236</v>
      </c>
      <c r="AB315" s="213" t="s">
        <v>235</v>
      </c>
    </row>
    <row r="316" spans="1:34" x14ac:dyDescent="0.25">
      <c r="A316" s="1269">
        <v>316</v>
      </c>
      <c r="B316" s="1933"/>
      <c r="C316" s="1934"/>
      <c r="D316" s="1897"/>
      <c r="E316" s="1897"/>
      <c r="F316" s="1884"/>
      <c r="M316" s="1882"/>
      <c r="N316" s="1883"/>
      <c r="O316" s="1897"/>
      <c r="P316" s="1897"/>
      <c r="Q316" s="1884"/>
      <c r="R316" s="152"/>
      <c r="S316" s="152"/>
      <c r="T316" s="152"/>
      <c r="U316" s="152"/>
      <c r="V316" s="152"/>
      <c r="X316" s="1476"/>
      <c r="Y316" s="1477"/>
      <c r="Z316" s="123"/>
      <c r="AA316" s="123"/>
      <c r="AB316" s="124"/>
    </row>
    <row r="317" spans="1:34" s="204" customFormat="1" x14ac:dyDescent="0.25">
      <c r="A317" s="1269">
        <v>317</v>
      </c>
      <c r="B317" s="1935"/>
      <c r="C317" s="1936"/>
      <c r="D317" s="1897"/>
      <c r="E317" s="1897"/>
      <c r="F317" s="1884"/>
      <c r="L317" s="44"/>
      <c r="M317" s="1915"/>
      <c r="N317" s="1916"/>
      <c r="O317" s="1897"/>
      <c r="P317" s="1897"/>
      <c r="Q317" s="1884"/>
      <c r="W317" s="44"/>
      <c r="X317" s="1478"/>
      <c r="Y317" s="1481"/>
      <c r="Z317" s="123"/>
      <c r="AA317" s="123"/>
      <c r="AB317" s="124"/>
      <c r="AH317" s="44"/>
    </row>
    <row r="318" spans="1:34" s="204" customFormat="1" x14ac:dyDescent="0.25">
      <c r="A318" s="1269">
        <v>318</v>
      </c>
      <c r="B318" s="1935"/>
      <c r="C318" s="1936"/>
      <c r="D318" s="1897"/>
      <c r="E318" s="1897"/>
      <c r="F318" s="1884"/>
      <c r="L318" s="44"/>
      <c r="M318" s="1915"/>
      <c r="N318" s="1916"/>
      <c r="O318" s="1897"/>
      <c r="P318" s="1897"/>
      <c r="Q318" s="1884"/>
      <c r="W318" s="44"/>
      <c r="X318" s="1478"/>
      <c r="Y318" s="1481"/>
      <c r="Z318" s="123"/>
      <c r="AA318" s="123"/>
      <c r="AB318" s="124"/>
      <c r="AH318" s="44"/>
    </row>
    <row r="319" spans="1:34" x14ac:dyDescent="0.25">
      <c r="A319" s="1269">
        <v>319</v>
      </c>
      <c r="B319" s="1933"/>
      <c r="C319" s="1934"/>
      <c r="D319" s="1897"/>
      <c r="E319" s="1897"/>
      <c r="F319" s="1884"/>
      <c r="M319" s="1882"/>
      <c r="N319" s="1883"/>
      <c r="O319" s="1897"/>
      <c r="P319" s="1897"/>
      <c r="Q319" s="1884"/>
      <c r="R319" s="152"/>
      <c r="S319" s="152"/>
      <c r="T319" s="152"/>
      <c r="U319" s="152"/>
      <c r="V319" s="152"/>
      <c r="X319" s="1476"/>
      <c r="Y319" s="1477"/>
      <c r="Z319" s="123"/>
      <c r="AA319" s="123"/>
      <c r="AB319" s="124"/>
    </row>
    <row r="320" spans="1:34" x14ac:dyDescent="0.25">
      <c r="A320" s="1269">
        <v>320</v>
      </c>
      <c r="B320" s="1933"/>
      <c r="C320" s="1934"/>
      <c r="D320" s="1897"/>
      <c r="E320" s="1897"/>
      <c r="F320" s="1884"/>
      <c r="M320" s="1882"/>
      <c r="N320" s="1883"/>
      <c r="O320" s="1897"/>
      <c r="P320" s="1897"/>
      <c r="Q320" s="1884"/>
      <c r="R320" s="152"/>
      <c r="S320" s="152"/>
      <c r="T320" s="152"/>
      <c r="U320" s="152"/>
      <c r="V320" s="152"/>
      <c r="X320" s="1476"/>
      <c r="Y320" s="1477"/>
      <c r="Z320" s="123"/>
      <c r="AA320" s="123"/>
      <c r="AB320" s="124"/>
    </row>
    <row r="321" spans="1:34" x14ac:dyDescent="0.25">
      <c r="A321" s="1269">
        <v>321</v>
      </c>
      <c r="B321" s="1603" t="s">
        <v>241</v>
      </c>
      <c r="C321" s="1604"/>
      <c r="D321" s="221">
        <f>SUM(D316:D320)</f>
        <v>0</v>
      </c>
      <c r="E321" s="221">
        <f t="shared" ref="E321:F321" si="164">SUM(E316:E320)</f>
        <v>0</v>
      </c>
      <c r="F321" s="98">
        <f t="shared" si="164"/>
        <v>0</v>
      </c>
      <c r="M321" s="1482" t="s">
        <v>241</v>
      </c>
      <c r="N321" s="1483"/>
      <c r="O321" s="221">
        <f>SUM(O316:O320)</f>
        <v>0</v>
      </c>
      <c r="P321" s="221">
        <f t="shared" ref="P321" si="165">SUM(P316:P320)</f>
        <v>0</v>
      </c>
      <c r="Q321" s="98">
        <f t="shared" ref="Q321" si="166">SUM(Q316:Q320)</f>
        <v>0</v>
      </c>
      <c r="R321" s="152"/>
      <c r="S321" s="152"/>
      <c r="T321" s="152"/>
      <c r="U321" s="152"/>
      <c r="V321" s="152"/>
      <c r="X321" s="1482" t="s">
        <v>241</v>
      </c>
      <c r="Y321" s="1483"/>
      <c r="Z321" s="221">
        <f>SUM(Z316:Z320)</f>
        <v>0</v>
      </c>
      <c r="AA321" s="221">
        <f t="shared" ref="AA321" si="167">SUM(AA316:AA320)</f>
        <v>0</v>
      </c>
      <c r="AB321" s="98">
        <f t="shared" ref="AB321" si="168">SUM(AB316:AB320)</f>
        <v>0</v>
      </c>
    </row>
    <row r="322" spans="1:34" ht="25.9" customHeight="1" x14ac:dyDescent="0.3">
      <c r="A322" s="1269">
        <v>322</v>
      </c>
      <c r="B322" s="1618" t="s">
        <v>238</v>
      </c>
      <c r="C322" s="1619"/>
      <c r="D322" s="5"/>
      <c r="E322" s="5"/>
      <c r="F322" s="35"/>
      <c r="M322" s="1484" t="s">
        <v>238</v>
      </c>
      <c r="N322" s="1485"/>
      <c r="O322" s="5"/>
      <c r="P322" s="5"/>
      <c r="Q322" s="35"/>
      <c r="R322" s="152"/>
      <c r="S322" s="152"/>
      <c r="T322" s="152"/>
      <c r="U322" s="152"/>
      <c r="V322" s="152"/>
      <c r="X322" s="1484" t="s">
        <v>238</v>
      </c>
      <c r="Y322" s="1485"/>
      <c r="Z322" s="5"/>
      <c r="AA322" s="5"/>
      <c r="AB322" s="35"/>
    </row>
    <row r="323" spans="1:34" x14ac:dyDescent="0.25">
      <c r="A323" s="1269">
        <v>323</v>
      </c>
      <c r="B323" s="1933"/>
      <c r="C323" s="1934"/>
      <c r="D323" s="1897"/>
      <c r="E323" s="1897"/>
      <c r="F323" s="1884"/>
      <c r="M323" s="1882"/>
      <c r="N323" s="1883"/>
      <c r="O323" s="1897"/>
      <c r="P323" s="1897"/>
      <c r="Q323" s="1884"/>
      <c r="R323" s="152"/>
      <c r="S323" s="152"/>
      <c r="T323" s="152"/>
      <c r="U323" s="152"/>
      <c r="V323" s="152"/>
      <c r="X323" s="1476"/>
      <c r="Y323" s="1477"/>
      <c r="Z323" s="123"/>
      <c r="AA323" s="123"/>
      <c r="AB323" s="124"/>
    </row>
    <row r="324" spans="1:34" s="204" customFormat="1" x14ac:dyDescent="0.25">
      <c r="A324" s="1269">
        <v>324</v>
      </c>
      <c r="B324" s="1935"/>
      <c r="C324" s="1936"/>
      <c r="D324" s="1897"/>
      <c r="E324" s="1897"/>
      <c r="F324" s="1884"/>
      <c r="L324" s="44"/>
      <c r="M324" s="1915"/>
      <c r="N324" s="1916"/>
      <c r="O324" s="1897"/>
      <c r="P324" s="1897"/>
      <c r="Q324" s="1884"/>
      <c r="W324" s="44"/>
      <c r="X324" s="1478"/>
      <c r="Y324" s="1481"/>
      <c r="Z324" s="123"/>
      <c r="AA324" s="123"/>
      <c r="AB324" s="124"/>
      <c r="AH324" s="44"/>
    </row>
    <row r="325" spans="1:34" x14ac:dyDescent="0.25">
      <c r="A325" s="1269">
        <v>325</v>
      </c>
      <c r="B325" s="1933"/>
      <c r="C325" s="1934"/>
      <c r="D325" s="1897"/>
      <c r="E325" s="1897"/>
      <c r="F325" s="1884"/>
      <c r="M325" s="1882"/>
      <c r="N325" s="1883"/>
      <c r="O325" s="1897"/>
      <c r="P325" s="1897"/>
      <c r="Q325" s="1884"/>
      <c r="R325" s="152"/>
      <c r="S325" s="152"/>
      <c r="T325" s="152"/>
      <c r="U325" s="152"/>
      <c r="V325" s="152"/>
      <c r="X325" s="1476"/>
      <c r="Y325" s="1477"/>
      <c r="Z325" s="123"/>
      <c r="AA325" s="123"/>
      <c r="AB325" s="124"/>
    </row>
    <row r="326" spans="1:34" x14ac:dyDescent="0.25">
      <c r="A326" s="1269">
        <v>326</v>
      </c>
      <c r="B326" s="1933"/>
      <c r="C326" s="1934"/>
      <c r="D326" s="1897"/>
      <c r="E326" s="1897"/>
      <c r="F326" s="1884"/>
      <c r="M326" s="1882"/>
      <c r="N326" s="1883"/>
      <c r="O326" s="1897"/>
      <c r="P326" s="1897"/>
      <c r="Q326" s="1884"/>
      <c r="R326" s="152"/>
      <c r="S326" s="152"/>
      <c r="T326" s="152"/>
      <c r="U326" s="152"/>
      <c r="V326" s="152"/>
      <c r="X326" s="1476"/>
      <c r="Y326" s="1477"/>
      <c r="Z326" s="123"/>
      <c r="AA326" s="123"/>
      <c r="AB326" s="124"/>
    </row>
    <row r="327" spans="1:34" x14ac:dyDescent="0.25">
      <c r="A327" s="1269">
        <v>327</v>
      </c>
      <c r="B327" s="1933"/>
      <c r="C327" s="1934"/>
      <c r="D327" s="1897"/>
      <c r="E327" s="1897"/>
      <c r="F327" s="1884"/>
      <c r="M327" s="1882"/>
      <c r="N327" s="1883"/>
      <c r="O327" s="1897"/>
      <c r="P327" s="1897"/>
      <c r="Q327" s="1884"/>
      <c r="R327" s="152"/>
      <c r="S327" s="152"/>
      <c r="T327" s="152"/>
      <c r="U327" s="152"/>
      <c r="V327" s="152"/>
      <c r="X327" s="1476"/>
      <c r="Y327" s="1477"/>
      <c r="Z327" s="123"/>
      <c r="AA327" s="123"/>
      <c r="AB327" s="124"/>
    </row>
    <row r="328" spans="1:34" x14ac:dyDescent="0.25">
      <c r="A328" s="1269">
        <v>328</v>
      </c>
      <c r="B328" s="1603" t="s">
        <v>240</v>
      </c>
      <c r="C328" s="1604"/>
      <c r="D328" s="221">
        <f>SUM(D323:D327)</f>
        <v>0</v>
      </c>
      <c r="E328" s="221">
        <f t="shared" ref="E328:F328" si="169">SUM(E323:E327)</f>
        <v>0</v>
      </c>
      <c r="F328" s="98">
        <f t="shared" si="169"/>
        <v>0</v>
      </c>
      <c r="M328" s="1937" t="s">
        <v>240</v>
      </c>
      <c r="N328" s="1938"/>
      <c r="O328" s="1939">
        <f>SUM(O323:O327)</f>
        <v>0</v>
      </c>
      <c r="P328" s="1939">
        <f t="shared" ref="P328" si="170">SUM(P323:P327)</f>
        <v>0</v>
      </c>
      <c r="Q328" s="1940">
        <f t="shared" ref="Q328" si="171">SUM(Q323:Q327)</f>
        <v>0</v>
      </c>
      <c r="R328" s="152"/>
      <c r="S328" s="152"/>
      <c r="T328" s="152"/>
      <c r="U328" s="152"/>
      <c r="V328" s="152"/>
      <c r="X328" s="1482" t="s">
        <v>240</v>
      </c>
      <c r="Y328" s="1483"/>
      <c r="Z328" s="221">
        <f>SUM(Z323:Z327)</f>
        <v>0</v>
      </c>
      <c r="AA328" s="221">
        <f t="shared" ref="AA328" si="172">SUM(AA323:AA327)</f>
        <v>0</v>
      </c>
      <c r="AB328" s="98">
        <f t="shared" ref="AB328" si="173">SUM(AB323:AB327)</f>
        <v>0</v>
      </c>
    </row>
    <row r="329" spans="1:34" ht="15.75" thickBot="1" x14ac:dyDescent="0.3">
      <c r="A329" s="1269">
        <v>329</v>
      </c>
      <c r="B329" s="1620" t="s">
        <v>240</v>
      </c>
      <c r="C329" s="1621"/>
      <c r="D329" s="1231">
        <f>D321+D328</f>
        <v>0</v>
      </c>
      <c r="E329" s="1231">
        <f t="shared" ref="E329:F329" si="174">E321+E328</f>
        <v>0</v>
      </c>
      <c r="F329" s="1232">
        <f t="shared" si="174"/>
        <v>0</v>
      </c>
      <c r="M329" s="1622" t="s">
        <v>240</v>
      </c>
      <c r="N329" s="1623"/>
      <c r="O329" s="1231">
        <f>O321+O328</f>
        <v>0</v>
      </c>
      <c r="P329" s="1231">
        <f t="shared" ref="P329" si="175">P321+P328</f>
        <v>0</v>
      </c>
      <c r="Q329" s="1232">
        <f t="shared" ref="Q329" si="176">Q321+Q328</f>
        <v>0</v>
      </c>
      <c r="R329" s="152"/>
      <c r="S329" s="152"/>
      <c r="T329" s="152"/>
      <c r="U329" s="152"/>
      <c r="V329" s="152"/>
      <c r="X329" s="1622" t="s">
        <v>240</v>
      </c>
      <c r="Y329" s="1623"/>
      <c r="Z329" s="1231">
        <f>Z321+Z328</f>
        <v>0</v>
      </c>
      <c r="AA329" s="1231">
        <f t="shared" ref="AA329" si="177">AA321+AA328</f>
        <v>0</v>
      </c>
      <c r="AB329" s="1232">
        <f t="shared" ref="AB329" si="178">AB321+AB328</f>
        <v>0</v>
      </c>
    </row>
  </sheetData>
  <sheetProtection sheet="1" objects="1" scenarios="1" selectLockedCells="1"/>
  <mergeCells count="492">
    <mergeCell ref="B224:D224"/>
    <mergeCell ref="B225:D225"/>
    <mergeCell ref="B226:D226"/>
    <mergeCell ref="B227:D227"/>
    <mergeCell ref="M224:O224"/>
    <mergeCell ref="M225:O225"/>
    <mergeCell ref="M226:O226"/>
    <mergeCell ref="M227:O227"/>
    <mergeCell ref="X16:AB16"/>
    <mergeCell ref="X17:AB17"/>
    <mergeCell ref="B20:C20"/>
    <mergeCell ref="B19:C19"/>
    <mergeCell ref="B18:C18"/>
    <mergeCell ref="M18:N18"/>
    <mergeCell ref="M19:N19"/>
    <mergeCell ref="M20:N20"/>
    <mergeCell ref="M21:N21"/>
    <mergeCell ref="M17:Q17"/>
    <mergeCell ref="M201:Q201"/>
    <mergeCell ref="B304:C304"/>
    <mergeCell ref="B309:C309"/>
    <mergeCell ref="M284:R284"/>
    <mergeCell ref="X284:AC284"/>
    <mergeCell ref="B317:C317"/>
    <mergeCell ref="B329:C329"/>
    <mergeCell ref="M314:Q314"/>
    <mergeCell ref="M317:N317"/>
    <mergeCell ref="M318:N318"/>
    <mergeCell ref="M329:N329"/>
    <mergeCell ref="X314:AB314"/>
    <mergeCell ref="X317:Y317"/>
    <mergeCell ref="X318:Y318"/>
    <mergeCell ref="X329:Y329"/>
    <mergeCell ref="M325:N325"/>
    <mergeCell ref="M326:N326"/>
    <mergeCell ref="M322:N322"/>
    <mergeCell ref="M323:N323"/>
    <mergeCell ref="M327:N327"/>
    <mergeCell ref="M328:N328"/>
    <mergeCell ref="B324:C324"/>
    <mergeCell ref="B319:C319"/>
    <mergeCell ref="B320:C320"/>
    <mergeCell ref="B321:C321"/>
    <mergeCell ref="B322:C322"/>
    <mergeCell ref="B318:C318"/>
    <mergeCell ref="B323:C323"/>
    <mergeCell ref="B325:C325"/>
    <mergeCell ref="M316:N316"/>
    <mergeCell ref="M320:N320"/>
    <mergeCell ref="M319:N319"/>
    <mergeCell ref="M321:N321"/>
    <mergeCell ref="M324:N324"/>
    <mergeCell ref="B316:C316"/>
    <mergeCell ref="M268:P268"/>
    <mergeCell ref="M269:Q269"/>
    <mergeCell ref="M283:P283"/>
    <mergeCell ref="M291:P291"/>
    <mergeCell ref="Q308:S308"/>
    <mergeCell ref="Q309:S309"/>
    <mergeCell ref="M310:N310"/>
    <mergeCell ref="Q310:S310"/>
    <mergeCell ref="M292:P292"/>
    <mergeCell ref="M301:O301"/>
    <mergeCell ref="Q301:T301"/>
    <mergeCell ref="M302:N302"/>
    <mergeCell ref="Q302:S302"/>
    <mergeCell ref="M297:S297"/>
    <mergeCell ref="M293:S293"/>
    <mergeCell ref="M296:S296"/>
    <mergeCell ref="M311:N311"/>
    <mergeCell ref="Q311:S311"/>
    <mergeCell ref="M315:N315"/>
    <mergeCell ref="M303:N303"/>
    <mergeCell ref="Q303:S303"/>
    <mergeCell ref="Q304:S304"/>
    <mergeCell ref="M305:N305"/>
    <mergeCell ref="Q305:S305"/>
    <mergeCell ref="M306:N306"/>
    <mergeCell ref="Q306:S306"/>
    <mergeCell ref="M307:N307"/>
    <mergeCell ref="Q307:S307"/>
    <mergeCell ref="M308:N308"/>
    <mergeCell ref="M233:O233"/>
    <mergeCell ref="M234:O234"/>
    <mergeCell ref="M236:S236"/>
    <mergeCell ref="M239:V239"/>
    <mergeCell ref="M241:T241"/>
    <mergeCell ref="M252:P252"/>
    <mergeCell ref="M259:P259"/>
    <mergeCell ref="M260:Q260"/>
    <mergeCell ref="M267:P267"/>
    <mergeCell ref="M235:O235"/>
    <mergeCell ref="P216:Q216"/>
    <mergeCell ref="R216:S216"/>
    <mergeCell ref="M217:O217"/>
    <mergeCell ref="M218:O218"/>
    <mergeCell ref="M229:O229"/>
    <mergeCell ref="M230:O230"/>
    <mergeCell ref="M231:O231"/>
    <mergeCell ref="M232:O232"/>
    <mergeCell ref="M219:O219"/>
    <mergeCell ref="M220:O220"/>
    <mergeCell ref="M221:O221"/>
    <mergeCell ref="M223:O223"/>
    <mergeCell ref="M222:O222"/>
    <mergeCell ref="M205:N205"/>
    <mergeCell ref="M206:N206"/>
    <mergeCell ref="M207:N207"/>
    <mergeCell ref="M208:N208"/>
    <mergeCell ref="M209:N209"/>
    <mergeCell ref="M210:N210"/>
    <mergeCell ref="M215:S215"/>
    <mergeCell ref="M212:R212"/>
    <mergeCell ref="M204:S204"/>
    <mergeCell ref="M189:Q189"/>
    <mergeCell ref="M190:N190"/>
    <mergeCell ref="M191:N191"/>
    <mergeCell ref="M192:N192"/>
    <mergeCell ref="M193:N193"/>
    <mergeCell ref="M194:N194"/>
    <mergeCell ref="M195:N195"/>
    <mergeCell ref="M196:N196"/>
    <mergeCell ref="M197:Q197"/>
    <mergeCell ref="M177:N177"/>
    <mergeCell ref="M178:Q178"/>
    <mergeCell ref="M128:O128"/>
    <mergeCell ref="M129:O129"/>
    <mergeCell ref="M130:O130"/>
    <mergeCell ref="M131:O131"/>
    <mergeCell ref="M132:O132"/>
    <mergeCell ref="M135:V135"/>
    <mergeCell ref="M145:R145"/>
    <mergeCell ref="M148:S148"/>
    <mergeCell ref="M159:P159"/>
    <mergeCell ref="M124:O124"/>
    <mergeCell ref="M125:O125"/>
    <mergeCell ref="M126:O126"/>
    <mergeCell ref="M127:O127"/>
    <mergeCell ref="M162:R162"/>
    <mergeCell ref="M170:P170"/>
    <mergeCell ref="M174:T174"/>
    <mergeCell ref="M175:N175"/>
    <mergeCell ref="M176:N176"/>
    <mergeCell ref="M112:N112"/>
    <mergeCell ref="M114:N114"/>
    <mergeCell ref="M89:R89"/>
    <mergeCell ref="M98:P98"/>
    <mergeCell ref="M84:P84"/>
    <mergeCell ref="M85:P85"/>
    <mergeCell ref="M86:U86"/>
    <mergeCell ref="M108:P108"/>
    <mergeCell ref="M123:Q123"/>
    <mergeCell ref="M110:N110"/>
    <mergeCell ref="M111:N111"/>
    <mergeCell ref="P1:Q1"/>
    <mergeCell ref="M5:R5"/>
    <mergeCell ref="M6:Q6"/>
    <mergeCell ref="M7:Q7"/>
    <mergeCell ref="M8:Q8"/>
    <mergeCell ref="M9:Q9"/>
    <mergeCell ref="M10:Q10"/>
    <mergeCell ref="N2:S2"/>
    <mergeCell ref="M11:Q11"/>
    <mergeCell ref="B314:F314"/>
    <mergeCell ref="M1:O1"/>
    <mergeCell ref="M12:Q12"/>
    <mergeCell ref="M28:R28"/>
    <mergeCell ref="M36:O36"/>
    <mergeCell ref="M48:O48"/>
    <mergeCell ref="P48:Q48"/>
    <mergeCell ref="M39:U39"/>
    <mergeCell ref="M49:O49"/>
    <mergeCell ref="P49:Q49"/>
    <mergeCell ref="M13:Q13"/>
    <mergeCell ref="M25:Q25"/>
    <mergeCell ref="M24:N24"/>
    <mergeCell ref="M23:N23"/>
    <mergeCell ref="M14:Q14"/>
    <mergeCell ref="M15:Q15"/>
    <mergeCell ref="M16:Q16"/>
    <mergeCell ref="F301:I301"/>
    <mergeCell ref="M22:N22"/>
    <mergeCell ref="M50:S50"/>
    <mergeCell ref="M53:R53"/>
    <mergeCell ref="M64:P64"/>
    <mergeCell ref="M74:P74"/>
    <mergeCell ref="M109:N109"/>
    <mergeCell ref="B297:H297"/>
    <mergeCell ref="B293:H293"/>
    <mergeCell ref="B296:H296"/>
    <mergeCell ref="B235:D235"/>
    <mergeCell ref="B284:G284"/>
    <mergeCell ref="B310:C310"/>
    <mergeCell ref="B311:C311"/>
    <mergeCell ref="B315:C315"/>
    <mergeCell ref="B236:H236"/>
    <mergeCell ref="B239:K239"/>
    <mergeCell ref="B252:E252"/>
    <mergeCell ref="B259:E259"/>
    <mergeCell ref="B260:F260"/>
    <mergeCell ref="B267:E267"/>
    <mergeCell ref="B268:E268"/>
    <mergeCell ref="B269:F269"/>
    <mergeCell ref="B292:E292"/>
    <mergeCell ref="B241:I241"/>
    <mergeCell ref="B302:C302"/>
    <mergeCell ref="B303:C303"/>
    <mergeCell ref="B305:C305"/>
    <mergeCell ref="B306:C306"/>
    <mergeCell ref="B307:C307"/>
    <mergeCell ref="B308:C308"/>
    <mergeCell ref="B117:C117"/>
    <mergeCell ref="B118:E118"/>
    <mergeCell ref="B119:E119"/>
    <mergeCell ref="B98:E98"/>
    <mergeCell ref="B108:E108"/>
    <mergeCell ref="B120:J120"/>
    <mergeCell ref="B218:D218"/>
    <mergeCell ref="B229:D229"/>
    <mergeCell ref="B230:D230"/>
    <mergeCell ref="B205:C205"/>
    <mergeCell ref="B206:C206"/>
    <mergeCell ref="B207:C207"/>
    <mergeCell ref="B221:D221"/>
    <mergeCell ref="B220:D220"/>
    <mergeCell ref="B219:D219"/>
    <mergeCell ref="B223:D223"/>
    <mergeCell ref="B222:D222"/>
    <mergeCell ref="B196:C196"/>
    <mergeCell ref="B197:F197"/>
    <mergeCell ref="E216:F216"/>
    <mergeCell ref="B215:H215"/>
    <mergeCell ref="G216:H216"/>
    <mergeCell ref="B209:C209"/>
    <mergeCell ref="B210:C210"/>
    <mergeCell ref="B1:D1"/>
    <mergeCell ref="E1:F1"/>
    <mergeCell ref="B5:G5"/>
    <mergeCell ref="B6:F6"/>
    <mergeCell ref="B7:F7"/>
    <mergeCell ref="B8:F8"/>
    <mergeCell ref="B53:G53"/>
    <mergeCell ref="B50:H50"/>
    <mergeCell ref="B28:G28"/>
    <mergeCell ref="B36:D36"/>
    <mergeCell ref="B48:D48"/>
    <mergeCell ref="B9:F9"/>
    <mergeCell ref="B10:F10"/>
    <mergeCell ref="B11:F11"/>
    <mergeCell ref="B12:F12"/>
    <mergeCell ref="B24:C24"/>
    <mergeCell ref="B23:C23"/>
    <mergeCell ref="B22:C22"/>
    <mergeCell ref="B21:C21"/>
    <mergeCell ref="B14:F14"/>
    <mergeCell ref="B17:F17"/>
    <mergeCell ref="B16:F16"/>
    <mergeCell ref="B15:F15"/>
    <mergeCell ref="C2:H2"/>
    <mergeCell ref="B128:D128"/>
    <mergeCell ref="B129:D129"/>
    <mergeCell ref="B326:C326"/>
    <mergeCell ref="B327:C327"/>
    <mergeCell ref="B175:C175"/>
    <mergeCell ref="B176:C176"/>
    <mergeCell ref="B177:C177"/>
    <mergeCell ref="B130:D130"/>
    <mergeCell ref="B131:D131"/>
    <mergeCell ref="B132:D132"/>
    <mergeCell ref="B174:I174"/>
    <mergeCell ref="B135:K135"/>
    <mergeCell ref="B145:G145"/>
    <mergeCell ref="B148:H148"/>
    <mergeCell ref="B159:E159"/>
    <mergeCell ref="B162:G162"/>
    <mergeCell ref="B194:C194"/>
    <mergeCell ref="B195:C195"/>
    <mergeCell ref="B178:F178"/>
    <mergeCell ref="B189:F189"/>
    <mergeCell ref="B190:C190"/>
    <mergeCell ref="B191:C191"/>
    <mergeCell ref="B192:C192"/>
    <mergeCell ref="B193:C193"/>
    <mergeCell ref="B112:C112"/>
    <mergeCell ref="B84:E84"/>
    <mergeCell ref="B124:D124"/>
    <mergeCell ref="B125:D125"/>
    <mergeCell ref="B114:C114"/>
    <mergeCell ref="B126:D126"/>
    <mergeCell ref="B127:D127"/>
    <mergeCell ref="B13:F13"/>
    <mergeCell ref="B25:F25"/>
    <mergeCell ref="B64:E64"/>
    <mergeCell ref="E48:F48"/>
    <mergeCell ref="E49:F49"/>
    <mergeCell ref="B39:J39"/>
    <mergeCell ref="B86:J86"/>
    <mergeCell ref="B89:G89"/>
    <mergeCell ref="B109:C109"/>
    <mergeCell ref="B111:C111"/>
    <mergeCell ref="B123:F123"/>
    <mergeCell ref="B49:D49"/>
    <mergeCell ref="B74:E74"/>
    <mergeCell ref="B85:E85"/>
    <mergeCell ref="B110:C110"/>
    <mergeCell ref="B115:C115"/>
    <mergeCell ref="B116:C116"/>
    <mergeCell ref="B328:C328"/>
    <mergeCell ref="B170:E170"/>
    <mergeCell ref="F303:H303"/>
    <mergeCell ref="F305:H305"/>
    <mergeCell ref="F306:H306"/>
    <mergeCell ref="F307:H307"/>
    <mergeCell ref="F308:H308"/>
    <mergeCell ref="F310:H310"/>
    <mergeCell ref="F302:H302"/>
    <mergeCell ref="F311:H311"/>
    <mergeCell ref="F304:H304"/>
    <mergeCell ref="F309:H309"/>
    <mergeCell ref="B217:D217"/>
    <mergeCell ref="B212:G212"/>
    <mergeCell ref="B231:D231"/>
    <mergeCell ref="B208:C208"/>
    <mergeCell ref="B201:F201"/>
    <mergeCell ref="B204:H204"/>
    <mergeCell ref="B283:E283"/>
    <mergeCell ref="B291:E291"/>
    <mergeCell ref="B301:D301"/>
    <mergeCell ref="B232:D232"/>
    <mergeCell ref="B233:D233"/>
    <mergeCell ref="B234:D234"/>
    <mergeCell ref="X1:Z1"/>
    <mergeCell ref="AA1:AB1"/>
    <mergeCell ref="X5:AC5"/>
    <mergeCell ref="X6:AB6"/>
    <mergeCell ref="X7:AB7"/>
    <mergeCell ref="X8:AB8"/>
    <mergeCell ref="X9:AB9"/>
    <mergeCell ref="X10:AB10"/>
    <mergeCell ref="Y2:AD2"/>
    <mergeCell ref="X49:Z49"/>
    <mergeCell ref="AA49:AB49"/>
    <mergeCell ref="X50:AD50"/>
    <mergeCell ref="X53:AC53"/>
    <mergeCell ref="X64:AA64"/>
    <mergeCell ref="X74:AA74"/>
    <mergeCell ref="X11:AB11"/>
    <mergeCell ref="X12:AB12"/>
    <mergeCell ref="X28:AC28"/>
    <mergeCell ref="X36:Z36"/>
    <mergeCell ref="X48:Z48"/>
    <mergeCell ref="AA48:AB48"/>
    <mergeCell ref="X39:AF39"/>
    <mergeCell ref="X13:AB13"/>
    <mergeCell ref="X25:AB25"/>
    <mergeCell ref="X18:Y18"/>
    <mergeCell ref="X19:Y19"/>
    <mergeCell ref="X20:Y20"/>
    <mergeCell ref="X21:Y21"/>
    <mergeCell ref="X22:Y22"/>
    <mergeCell ref="X23:Y23"/>
    <mergeCell ref="X24:Y24"/>
    <mergeCell ref="X14:AB14"/>
    <mergeCell ref="X15:AB15"/>
    <mergeCell ref="X132:Z132"/>
    <mergeCell ref="X135:AG135"/>
    <mergeCell ref="X145:AC145"/>
    <mergeCell ref="X123:AB123"/>
    <mergeCell ref="X124:Z124"/>
    <mergeCell ref="X125:Z125"/>
    <mergeCell ref="X89:AC89"/>
    <mergeCell ref="X98:AA98"/>
    <mergeCell ref="X109:Y109"/>
    <mergeCell ref="X110:Y110"/>
    <mergeCell ref="X111:Y111"/>
    <mergeCell ref="X112:Y112"/>
    <mergeCell ref="X114:Y114"/>
    <mergeCell ref="X113:Y113"/>
    <mergeCell ref="X148:AD148"/>
    <mergeCell ref="X159:AA159"/>
    <mergeCell ref="X162:AC162"/>
    <mergeCell ref="X170:AA170"/>
    <mergeCell ref="X174:AE174"/>
    <mergeCell ref="X175:Y175"/>
    <mergeCell ref="X176:Y176"/>
    <mergeCell ref="X177:Y177"/>
    <mergeCell ref="X178:AB178"/>
    <mergeCell ref="X189:AB189"/>
    <mergeCell ref="X190:Y190"/>
    <mergeCell ref="X191:Y191"/>
    <mergeCell ref="X192:Y192"/>
    <mergeCell ref="X193:Y193"/>
    <mergeCell ref="X194:Y194"/>
    <mergeCell ref="X195:Y195"/>
    <mergeCell ref="X196:Y196"/>
    <mergeCell ref="X197:AB197"/>
    <mergeCell ref="X205:Y205"/>
    <mergeCell ref="X206:Y206"/>
    <mergeCell ref="X207:Y207"/>
    <mergeCell ref="X208:Y208"/>
    <mergeCell ref="X209:Y209"/>
    <mergeCell ref="X210:Y210"/>
    <mergeCell ref="X215:AD215"/>
    <mergeCell ref="X212:AC212"/>
    <mergeCell ref="X204:AD204"/>
    <mergeCell ref="AA216:AB216"/>
    <mergeCell ref="AC216:AD216"/>
    <mergeCell ref="X217:Z217"/>
    <mergeCell ref="X218:Z218"/>
    <mergeCell ref="X219:Z219"/>
    <mergeCell ref="X220:Z220"/>
    <mergeCell ref="X221:Z221"/>
    <mergeCell ref="X222:Z222"/>
    <mergeCell ref="X229:Z229"/>
    <mergeCell ref="X223:Z223"/>
    <mergeCell ref="X230:Z230"/>
    <mergeCell ref="X231:Z231"/>
    <mergeCell ref="X232:Z232"/>
    <mergeCell ref="X233:Z233"/>
    <mergeCell ref="X234:Z234"/>
    <mergeCell ref="X236:AD236"/>
    <mergeCell ref="X239:AG239"/>
    <mergeCell ref="X241:AE241"/>
    <mergeCell ref="X252:AA252"/>
    <mergeCell ref="X235:Z235"/>
    <mergeCell ref="X303:Y303"/>
    <mergeCell ref="AB303:AD303"/>
    <mergeCell ref="AB304:AD304"/>
    <mergeCell ref="X305:Y305"/>
    <mergeCell ref="AB305:AD305"/>
    <mergeCell ref="X296:AD296"/>
    <mergeCell ref="X306:Y306"/>
    <mergeCell ref="AB306:AD306"/>
    <mergeCell ref="X307:Y307"/>
    <mergeCell ref="AB307:AD307"/>
    <mergeCell ref="X297:AD297"/>
    <mergeCell ref="X301:Z301"/>
    <mergeCell ref="AB301:AE301"/>
    <mergeCell ref="X302:Y302"/>
    <mergeCell ref="AB302:AD302"/>
    <mergeCell ref="X259:AA259"/>
    <mergeCell ref="X260:AB260"/>
    <mergeCell ref="X267:AA267"/>
    <mergeCell ref="X268:AA268"/>
    <mergeCell ref="X269:AB269"/>
    <mergeCell ref="X283:AA283"/>
    <mergeCell ref="X291:AA291"/>
    <mergeCell ref="X292:AA292"/>
    <mergeCell ref="X293:AD293"/>
    <mergeCell ref="X308:Y308"/>
    <mergeCell ref="AB308:AD308"/>
    <mergeCell ref="AB309:AD309"/>
    <mergeCell ref="X310:Y310"/>
    <mergeCell ref="AB310:AD310"/>
    <mergeCell ref="X326:Y326"/>
    <mergeCell ref="X327:Y327"/>
    <mergeCell ref="X328:Y328"/>
    <mergeCell ref="X322:Y322"/>
    <mergeCell ref="X323:Y323"/>
    <mergeCell ref="X324:Y324"/>
    <mergeCell ref="X325:Y325"/>
    <mergeCell ref="X311:Y311"/>
    <mergeCell ref="AB311:AD311"/>
    <mergeCell ref="X315:Y315"/>
    <mergeCell ref="X316:Y316"/>
    <mergeCell ref="X320:Y320"/>
    <mergeCell ref="X319:Y319"/>
    <mergeCell ref="X321:Y321"/>
    <mergeCell ref="J146:K146"/>
    <mergeCell ref="U146:V146"/>
    <mergeCell ref="M120:U120"/>
    <mergeCell ref="X84:AA84"/>
    <mergeCell ref="X85:AA85"/>
    <mergeCell ref="X86:AF86"/>
    <mergeCell ref="X108:AA108"/>
    <mergeCell ref="X120:AF120"/>
    <mergeCell ref="X115:Y115"/>
    <mergeCell ref="X116:Y116"/>
    <mergeCell ref="X117:Y117"/>
    <mergeCell ref="X118:AA118"/>
    <mergeCell ref="X119:AA119"/>
    <mergeCell ref="M115:N115"/>
    <mergeCell ref="M116:N116"/>
    <mergeCell ref="M117:N117"/>
    <mergeCell ref="M118:P118"/>
    <mergeCell ref="M119:P119"/>
    <mergeCell ref="X126:Z126"/>
    <mergeCell ref="X127:Z127"/>
    <mergeCell ref="X128:Z128"/>
    <mergeCell ref="X129:Z129"/>
    <mergeCell ref="X130:Z130"/>
    <mergeCell ref="X131:Z131"/>
  </mergeCells>
  <phoneticPr fontId="39" type="noConversion"/>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6074-DEAD-41E0-9ECB-1CC15F6B11F3}">
  <sheetPr>
    <tabColor rgb="FFFFFF81"/>
  </sheetPr>
  <dimension ref="A1:L76"/>
  <sheetViews>
    <sheetView showGridLines="0" zoomScale="90" zoomScaleNormal="90" workbookViewId="0">
      <selection activeCell="F5" sqref="F5"/>
    </sheetView>
  </sheetViews>
  <sheetFormatPr defaultColWidth="8.85546875" defaultRowHeight="15" x14ac:dyDescent="0.25"/>
  <cols>
    <col min="1" max="1" width="3.28515625" style="204" customWidth="1"/>
    <col min="2" max="2" width="2.140625" style="204" customWidth="1"/>
    <col min="3" max="3" width="40.7109375" style="204" customWidth="1"/>
    <col min="4" max="4" width="12.140625" style="204" customWidth="1"/>
    <col min="5" max="5" width="6.140625" style="347" customWidth="1"/>
    <col min="6" max="6" width="16.28515625" style="1" customWidth="1"/>
    <col min="7" max="7" width="17.7109375" style="1" customWidth="1"/>
    <col min="8" max="8" width="12.85546875" style="1" customWidth="1"/>
    <col min="9" max="9" width="12.85546875" style="204" customWidth="1"/>
    <col min="10" max="11" width="15.42578125" style="204" customWidth="1"/>
    <col min="12" max="12" width="11.140625" style="204" customWidth="1"/>
    <col min="13" max="16384" width="8.85546875" style="204"/>
  </cols>
  <sheetData>
    <row r="1" spans="1:8" ht="85.5" customHeight="1" x14ac:dyDescent="0.25">
      <c r="A1" s="237">
        <v>1</v>
      </c>
      <c r="B1" s="1659" t="s">
        <v>943</v>
      </c>
      <c r="C1" s="1660"/>
      <c r="D1" s="1660"/>
      <c r="E1" s="1660"/>
      <c r="F1" s="1660"/>
      <c r="G1" s="1661"/>
      <c r="H1" s="433"/>
    </row>
    <row r="2" spans="1:8" ht="28.9" customHeight="1" x14ac:dyDescent="0.25">
      <c r="A2" s="237">
        <v>2</v>
      </c>
      <c r="B2" s="1437">
        <f>'Input Sheet'!C4</f>
        <v>0</v>
      </c>
      <c r="C2" s="1438"/>
      <c r="D2" s="1438"/>
      <c r="E2" s="722"/>
      <c r="F2" s="1662">
        <f>'Input Sheet'!C9</f>
        <v>0</v>
      </c>
      <c r="G2" s="1663"/>
      <c r="H2" s="440"/>
    </row>
    <row r="3" spans="1:8" ht="34.15" customHeight="1" x14ac:dyDescent="0.3">
      <c r="A3" s="237">
        <v>3</v>
      </c>
      <c r="B3" s="1651" t="s">
        <v>768</v>
      </c>
      <c r="C3" s="1652"/>
      <c r="D3" s="1652"/>
      <c r="E3" s="1062" t="s">
        <v>252</v>
      </c>
      <c r="F3" s="880" t="s">
        <v>513</v>
      </c>
      <c r="G3" s="881" t="s">
        <v>747</v>
      </c>
      <c r="H3" s="441"/>
    </row>
    <row r="4" spans="1:8" ht="16.350000000000001" customHeight="1" x14ac:dyDescent="0.25">
      <c r="A4" s="237">
        <v>4</v>
      </c>
      <c r="B4" s="758"/>
      <c r="C4" s="1633" t="s">
        <v>617</v>
      </c>
      <c r="D4" s="1634"/>
      <c r="E4" s="725"/>
      <c r="F4" s="687" t="s">
        <v>253</v>
      </c>
      <c r="G4" s="726" t="s">
        <v>253</v>
      </c>
      <c r="H4" s="270"/>
    </row>
    <row r="5" spans="1:8" ht="16.350000000000001" customHeight="1" x14ac:dyDescent="0.25">
      <c r="A5" s="237">
        <v>5</v>
      </c>
      <c r="B5" s="758"/>
      <c r="C5" s="1664" t="s">
        <v>618</v>
      </c>
      <c r="D5" s="1665"/>
      <c r="E5" s="725" t="s">
        <v>254</v>
      </c>
      <c r="F5" s="1944"/>
      <c r="G5" s="727"/>
      <c r="H5" s="348"/>
    </row>
    <row r="6" spans="1:8" ht="16.350000000000001" customHeight="1" x14ac:dyDescent="0.25">
      <c r="A6" s="237">
        <v>6</v>
      </c>
      <c r="B6" s="758"/>
      <c r="C6" s="1633" t="s">
        <v>506</v>
      </c>
      <c r="D6" s="1634"/>
      <c r="E6" s="725" t="s">
        <v>255</v>
      </c>
      <c r="F6" s="1945"/>
      <c r="G6" s="727"/>
      <c r="H6" s="348"/>
    </row>
    <row r="7" spans="1:8" ht="16.350000000000001" customHeight="1" x14ac:dyDescent="0.25">
      <c r="A7" s="237">
        <v>7</v>
      </c>
      <c r="B7" s="758"/>
      <c r="C7" s="759" t="s">
        <v>256</v>
      </c>
      <c r="D7" s="729" t="s">
        <v>257</v>
      </c>
      <c r="E7" s="725" t="s">
        <v>258</v>
      </c>
      <c r="F7" s="730">
        <f>F5-F6</f>
        <v>0</v>
      </c>
      <c r="G7" s="727">
        <f>F7</f>
        <v>0</v>
      </c>
      <c r="H7" s="348"/>
    </row>
    <row r="8" spans="1:8" ht="16.350000000000001" customHeight="1" x14ac:dyDescent="0.25">
      <c r="A8" s="237">
        <v>8</v>
      </c>
      <c r="B8" s="758"/>
      <c r="C8" s="1633" t="s">
        <v>259</v>
      </c>
      <c r="D8" s="1634"/>
      <c r="E8" s="731">
        <v>2</v>
      </c>
      <c r="F8" s="1946"/>
      <c r="G8" s="727">
        <f t="shared" ref="G8:G17" si="0">F8</f>
        <v>0</v>
      </c>
      <c r="H8" s="348"/>
    </row>
    <row r="9" spans="1:8" ht="15.95" customHeight="1" x14ac:dyDescent="0.25">
      <c r="A9" s="237">
        <v>9</v>
      </c>
      <c r="B9" s="758"/>
      <c r="C9" s="1633" t="s">
        <v>260</v>
      </c>
      <c r="D9" s="1634"/>
      <c r="E9" s="731" t="s">
        <v>261</v>
      </c>
      <c r="F9" s="1947"/>
      <c r="G9" s="727">
        <f t="shared" si="0"/>
        <v>0</v>
      </c>
      <c r="H9" s="348"/>
    </row>
    <row r="10" spans="1:8" ht="15.95" customHeight="1" x14ac:dyDescent="0.25">
      <c r="A10" s="237">
        <v>10</v>
      </c>
      <c r="B10" s="758"/>
      <c r="C10" s="1633" t="s">
        <v>262</v>
      </c>
      <c r="D10" s="1634"/>
      <c r="E10" s="731" t="s">
        <v>263</v>
      </c>
      <c r="F10" s="1947"/>
      <c r="G10" s="727">
        <f t="shared" si="0"/>
        <v>0</v>
      </c>
      <c r="H10" s="348"/>
    </row>
    <row r="11" spans="1:8" ht="15.95" customHeight="1" x14ac:dyDescent="0.25">
      <c r="A11" s="237">
        <v>11</v>
      </c>
      <c r="B11" s="758"/>
      <c r="C11" s="1633" t="s">
        <v>264</v>
      </c>
      <c r="D11" s="1634"/>
      <c r="E11" s="731" t="s">
        <v>265</v>
      </c>
      <c r="F11" s="1947"/>
      <c r="G11" s="727">
        <f t="shared" si="0"/>
        <v>0</v>
      </c>
      <c r="H11" s="348"/>
    </row>
    <row r="12" spans="1:8" ht="15.95" customHeight="1" x14ac:dyDescent="0.25">
      <c r="A12" s="237">
        <v>12</v>
      </c>
      <c r="B12" s="758"/>
      <c r="C12" s="1633" t="s">
        <v>266</v>
      </c>
      <c r="D12" s="1634"/>
      <c r="E12" s="731" t="s">
        <v>267</v>
      </c>
      <c r="F12" s="1947"/>
      <c r="G12" s="727">
        <f t="shared" si="0"/>
        <v>0</v>
      </c>
      <c r="H12" s="348"/>
    </row>
    <row r="13" spans="1:8" ht="15.95" customHeight="1" x14ac:dyDescent="0.25">
      <c r="A13" s="237">
        <v>13</v>
      </c>
      <c r="B13" s="758"/>
      <c r="C13" s="1633" t="s">
        <v>619</v>
      </c>
      <c r="D13" s="1634"/>
      <c r="E13" s="731" t="s">
        <v>268</v>
      </c>
      <c r="F13" s="1947"/>
      <c r="G13" s="727">
        <f t="shared" si="0"/>
        <v>0</v>
      </c>
      <c r="H13" s="348"/>
    </row>
    <row r="14" spans="1:8" ht="15.95" customHeight="1" x14ac:dyDescent="0.25">
      <c r="A14" s="237">
        <v>14</v>
      </c>
      <c r="B14" s="758"/>
      <c r="C14" s="1633" t="s">
        <v>269</v>
      </c>
      <c r="D14" s="1634"/>
      <c r="E14" s="731">
        <v>7</v>
      </c>
      <c r="F14" s="1947"/>
      <c r="G14" s="727">
        <f t="shared" si="0"/>
        <v>0</v>
      </c>
      <c r="H14" s="348"/>
    </row>
    <row r="15" spans="1:8" ht="17.649999999999999" customHeight="1" x14ac:dyDescent="0.25">
      <c r="A15" s="237">
        <v>15</v>
      </c>
      <c r="B15" s="758"/>
      <c r="C15" s="1633" t="s">
        <v>767</v>
      </c>
      <c r="D15" s="1634"/>
      <c r="E15" s="732" t="s">
        <v>504</v>
      </c>
      <c r="F15" s="1947"/>
      <c r="G15" s="727">
        <f t="shared" si="0"/>
        <v>0</v>
      </c>
      <c r="H15" s="348"/>
    </row>
    <row r="16" spans="1:8" s="343" customFormat="1" ht="16.350000000000001" customHeight="1" x14ac:dyDescent="0.25">
      <c r="A16" s="237">
        <v>16</v>
      </c>
      <c r="B16" s="758"/>
      <c r="C16" s="759" t="s">
        <v>851</v>
      </c>
      <c r="D16" s="733" t="s">
        <v>644</v>
      </c>
      <c r="E16" s="732"/>
      <c r="F16" s="1258">
        <f>'IS Schedules'!D10</f>
        <v>0</v>
      </c>
      <c r="G16" s="750">
        <f>'IS Schedules'!D11</f>
        <v>0</v>
      </c>
      <c r="H16" s="348"/>
    </row>
    <row r="17" spans="1:8" ht="16.350000000000001" customHeight="1" x14ac:dyDescent="0.25">
      <c r="A17" s="237">
        <v>17</v>
      </c>
      <c r="B17" s="758"/>
      <c r="C17" s="759" t="s">
        <v>826</v>
      </c>
      <c r="D17" s="1650" t="s">
        <v>864</v>
      </c>
      <c r="E17" s="1650"/>
      <c r="F17" s="1947"/>
      <c r="G17" s="727">
        <f t="shared" si="0"/>
        <v>0</v>
      </c>
      <c r="H17" s="348"/>
    </row>
    <row r="18" spans="1:8" s="343" customFormat="1" ht="16.350000000000001" customHeight="1" x14ac:dyDescent="0.25">
      <c r="A18" s="237">
        <v>18</v>
      </c>
      <c r="B18" s="758"/>
      <c r="C18" s="760" t="s">
        <v>270</v>
      </c>
      <c r="D18" s="733" t="s">
        <v>861</v>
      </c>
      <c r="E18" s="731"/>
      <c r="F18" s="687" t="s">
        <v>253</v>
      </c>
      <c r="G18" s="734">
        <f>'IS Schedules'!K10</f>
        <v>0</v>
      </c>
      <c r="H18" s="239"/>
    </row>
    <row r="19" spans="1:8" ht="16.350000000000001" customHeight="1" x14ac:dyDescent="0.25">
      <c r="A19" s="237">
        <v>19</v>
      </c>
      <c r="B19" s="758"/>
      <c r="C19" s="713"/>
      <c r="D19" s="761" t="s">
        <v>769</v>
      </c>
      <c r="E19" s="735"/>
      <c r="F19" s="736">
        <f>SUM(F7:F17)</f>
        <v>0</v>
      </c>
      <c r="G19" s="737">
        <f>SUM(G7:G18)</f>
        <v>0</v>
      </c>
      <c r="H19" s="444"/>
    </row>
    <row r="20" spans="1:8" ht="34.5" customHeight="1" x14ac:dyDescent="0.3">
      <c r="A20" s="237">
        <v>20</v>
      </c>
      <c r="B20" s="1651" t="s">
        <v>770</v>
      </c>
      <c r="C20" s="1652"/>
      <c r="D20" s="1652"/>
      <c r="E20" s="879" t="s">
        <v>252</v>
      </c>
      <c r="F20" s="880" t="s">
        <v>513</v>
      </c>
      <c r="G20" s="881" t="s">
        <v>514</v>
      </c>
      <c r="H20" s="441"/>
    </row>
    <row r="21" spans="1:8" ht="16.350000000000001" customHeight="1" x14ac:dyDescent="0.25">
      <c r="A21" s="237">
        <v>21</v>
      </c>
      <c r="B21" s="1648" t="s">
        <v>271</v>
      </c>
      <c r="C21" s="1649"/>
      <c r="D21" s="1649"/>
      <c r="E21" s="731"/>
      <c r="F21" s="738"/>
      <c r="G21" s="739"/>
      <c r="H21" s="364"/>
    </row>
    <row r="22" spans="1:8" ht="18" customHeight="1" x14ac:dyDescent="0.25">
      <c r="A22" s="237">
        <v>22</v>
      </c>
      <c r="B22" s="758"/>
      <c r="C22" s="1643" t="s">
        <v>286</v>
      </c>
      <c r="D22" s="1644"/>
      <c r="E22" s="732" t="s">
        <v>743</v>
      </c>
      <c r="F22" s="1947"/>
      <c r="G22" s="727">
        <f t="shared" ref="G22:G48" si="1">F22</f>
        <v>0</v>
      </c>
      <c r="H22" s="348"/>
    </row>
    <row r="23" spans="1:8" ht="16.350000000000001" customHeight="1" x14ac:dyDescent="0.25">
      <c r="A23" s="237">
        <v>23</v>
      </c>
      <c r="B23" s="758"/>
      <c r="C23" s="1643" t="s">
        <v>272</v>
      </c>
      <c r="D23" s="1644"/>
      <c r="E23" s="731">
        <v>10</v>
      </c>
      <c r="F23" s="1947"/>
      <c r="G23" s="727">
        <f t="shared" si="1"/>
        <v>0</v>
      </c>
      <c r="H23" s="348"/>
    </row>
    <row r="24" spans="1:8" ht="16.350000000000001" customHeight="1" x14ac:dyDescent="0.25">
      <c r="A24" s="237">
        <v>24</v>
      </c>
      <c r="B24" s="758"/>
      <c r="C24" s="1643" t="s">
        <v>273</v>
      </c>
      <c r="D24" s="1644"/>
      <c r="E24" s="740">
        <v>11</v>
      </c>
      <c r="F24" s="1947"/>
      <c r="G24" s="727">
        <f t="shared" si="1"/>
        <v>0</v>
      </c>
      <c r="H24" s="348"/>
    </row>
    <row r="25" spans="1:8" ht="16.350000000000001" customHeight="1" x14ac:dyDescent="0.25">
      <c r="A25" s="237">
        <v>25</v>
      </c>
      <c r="B25" s="758"/>
      <c r="C25" s="1643" t="s">
        <v>275</v>
      </c>
      <c r="D25" s="1644"/>
      <c r="E25" s="731">
        <v>12</v>
      </c>
      <c r="F25" s="1947"/>
      <c r="G25" s="727">
        <f t="shared" si="1"/>
        <v>0</v>
      </c>
      <c r="H25" s="348"/>
    </row>
    <row r="26" spans="1:8" ht="16.350000000000001" customHeight="1" x14ac:dyDescent="0.25">
      <c r="A26" s="237">
        <v>26</v>
      </c>
      <c r="B26" s="758"/>
      <c r="C26" s="1643" t="s">
        <v>276</v>
      </c>
      <c r="D26" s="1644"/>
      <c r="E26" s="731">
        <v>13</v>
      </c>
      <c r="F26" s="1947"/>
      <c r="G26" s="727">
        <f t="shared" si="1"/>
        <v>0</v>
      </c>
      <c r="H26" s="348"/>
    </row>
    <row r="27" spans="1:8" ht="16.350000000000001" customHeight="1" x14ac:dyDescent="0.25">
      <c r="A27" s="237">
        <v>27</v>
      </c>
      <c r="B27" s="758"/>
      <c r="C27" s="1643" t="s">
        <v>277</v>
      </c>
      <c r="D27" s="1644"/>
      <c r="E27" s="731">
        <v>16</v>
      </c>
      <c r="F27" s="1947"/>
      <c r="G27" s="727">
        <f t="shared" si="1"/>
        <v>0</v>
      </c>
      <c r="H27" s="348"/>
    </row>
    <row r="28" spans="1:8" ht="16.350000000000001" customHeight="1" x14ac:dyDescent="0.25">
      <c r="A28" s="237">
        <v>28</v>
      </c>
      <c r="B28" s="758"/>
      <c r="C28" s="1643" t="s">
        <v>278</v>
      </c>
      <c r="D28" s="1644"/>
      <c r="E28" s="731">
        <v>17</v>
      </c>
      <c r="F28" s="1947"/>
      <c r="G28" s="727">
        <f t="shared" si="1"/>
        <v>0</v>
      </c>
      <c r="H28" s="348"/>
    </row>
    <row r="29" spans="1:8" ht="16.350000000000001" customHeight="1" x14ac:dyDescent="0.25">
      <c r="A29" s="237">
        <v>29</v>
      </c>
      <c r="B29" s="758"/>
      <c r="C29" s="1643" t="s">
        <v>279</v>
      </c>
      <c r="D29" s="1644"/>
      <c r="E29" s="731">
        <v>18</v>
      </c>
      <c r="F29" s="1947"/>
      <c r="G29" s="727">
        <f t="shared" si="1"/>
        <v>0</v>
      </c>
      <c r="H29" s="348"/>
    </row>
    <row r="30" spans="1:8" ht="16.350000000000001" customHeight="1" x14ac:dyDescent="0.25">
      <c r="A30" s="237">
        <v>30</v>
      </c>
      <c r="B30" s="758"/>
      <c r="C30" s="1643" t="s">
        <v>280</v>
      </c>
      <c r="D30" s="1644"/>
      <c r="E30" s="731">
        <v>19</v>
      </c>
      <c r="F30" s="1947"/>
      <c r="G30" s="727">
        <f t="shared" si="1"/>
        <v>0</v>
      </c>
      <c r="H30" s="348"/>
    </row>
    <row r="31" spans="1:8" ht="16.350000000000001" customHeight="1" x14ac:dyDescent="0.25">
      <c r="A31" s="237">
        <v>31</v>
      </c>
      <c r="B31" s="758"/>
      <c r="C31" s="1643" t="s">
        <v>281</v>
      </c>
      <c r="D31" s="1644"/>
      <c r="E31" s="731">
        <v>20</v>
      </c>
      <c r="F31" s="1947"/>
      <c r="G31" s="727">
        <f t="shared" si="1"/>
        <v>0</v>
      </c>
      <c r="H31" s="348"/>
    </row>
    <row r="32" spans="1:8" ht="16.350000000000001" customHeight="1" x14ac:dyDescent="0.25">
      <c r="A32" s="237">
        <v>32</v>
      </c>
      <c r="B32" s="758"/>
      <c r="C32" s="1643" t="s">
        <v>282</v>
      </c>
      <c r="D32" s="1644"/>
      <c r="E32" s="731" t="s">
        <v>283</v>
      </c>
      <c r="F32" s="1947"/>
      <c r="G32" s="727">
        <f t="shared" si="1"/>
        <v>0</v>
      </c>
      <c r="H32" s="348"/>
    </row>
    <row r="33" spans="1:12" ht="16.350000000000001" customHeight="1" x14ac:dyDescent="0.25">
      <c r="A33" s="237">
        <v>33</v>
      </c>
      <c r="B33" s="758"/>
      <c r="C33" s="1643" t="s">
        <v>284</v>
      </c>
      <c r="D33" s="1644"/>
      <c r="E33" s="731" t="s">
        <v>285</v>
      </c>
      <c r="F33" s="1947"/>
      <c r="G33" s="727">
        <f t="shared" si="1"/>
        <v>0</v>
      </c>
      <c r="H33" s="348"/>
    </row>
    <row r="34" spans="1:12" ht="16.350000000000001" customHeight="1" x14ac:dyDescent="0.25">
      <c r="A34" s="237">
        <v>34</v>
      </c>
      <c r="B34" s="758"/>
      <c r="C34" s="1643" t="s">
        <v>287</v>
      </c>
      <c r="D34" s="1644"/>
      <c r="E34" s="731">
        <v>25</v>
      </c>
      <c r="F34" s="1947"/>
      <c r="G34" s="727">
        <f t="shared" si="1"/>
        <v>0</v>
      </c>
      <c r="H34" s="348"/>
    </row>
    <row r="35" spans="1:12" ht="16.350000000000001" customHeight="1" x14ac:dyDescent="0.25">
      <c r="A35" s="237">
        <v>35</v>
      </c>
      <c r="B35" s="758"/>
      <c r="C35" s="1643" t="s">
        <v>288</v>
      </c>
      <c r="D35" s="1644"/>
      <c r="E35" s="731">
        <v>26</v>
      </c>
      <c r="F35" s="1947"/>
      <c r="G35" s="727">
        <f t="shared" si="1"/>
        <v>0</v>
      </c>
      <c r="H35" s="348"/>
    </row>
    <row r="36" spans="1:12" ht="16.350000000000001" customHeight="1" x14ac:dyDescent="0.25">
      <c r="A36" s="237">
        <v>36</v>
      </c>
      <c r="B36" s="758"/>
      <c r="C36" s="1643" t="s">
        <v>289</v>
      </c>
      <c r="D36" s="1644"/>
      <c r="E36" s="731">
        <v>27</v>
      </c>
      <c r="F36" s="1947"/>
      <c r="G36" s="727">
        <f t="shared" si="1"/>
        <v>0</v>
      </c>
      <c r="H36" s="348"/>
    </row>
    <row r="37" spans="1:12" ht="16.350000000000001" customHeight="1" x14ac:dyDescent="0.25">
      <c r="A37" s="237">
        <v>37</v>
      </c>
      <c r="B37" s="758"/>
      <c r="C37" s="1643" t="s">
        <v>6</v>
      </c>
      <c r="D37" s="1644"/>
      <c r="E37" s="731">
        <v>28</v>
      </c>
      <c r="F37" s="1947"/>
      <c r="G37" s="727">
        <f t="shared" si="1"/>
        <v>0</v>
      </c>
      <c r="H37" s="348"/>
    </row>
    <row r="38" spans="1:12" ht="16.350000000000001" customHeight="1" x14ac:dyDescent="0.25">
      <c r="A38" s="237">
        <v>38</v>
      </c>
      <c r="B38" s="758"/>
      <c r="C38" s="1643" t="s">
        <v>290</v>
      </c>
      <c r="D38" s="1644"/>
      <c r="E38" s="731">
        <v>29</v>
      </c>
      <c r="F38" s="1947"/>
      <c r="G38" s="727">
        <f t="shared" si="1"/>
        <v>0</v>
      </c>
      <c r="H38" s="348"/>
    </row>
    <row r="39" spans="1:12" ht="16.350000000000001" customHeight="1" x14ac:dyDescent="0.25">
      <c r="A39" s="237">
        <v>39</v>
      </c>
      <c r="B39" s="758"/>
      <c r="C39" s="1643" t="s">
        <v>291</v>
      </c>
      <c r="D39" s="1644"/>
      <c r="E39" s="731">
        <v>30</v>
      </c>
      <c r="F39" s="1947"/>
      <c r="G39" s="727">
        <f t="shared" si="1"/>
        <v>0</v>
      </c>
      <c r="H39" s="348"/>
      <c r="I39" s="391"/>
    </row>
    <row r="40" spans="1:12" ht="16.350000000000001" customHeight="1" x14ac:dyDescent="0.25">
      <c r="A40" s="237">
        <v>40</v>
      </c>
      <c r="B40" s="758"/>
      <c r="C40" s="1643" t="s">
        <v>292</v>
      </c>
      <c r="D40" s="1644"/>
      <c r="E40" s="731">
        <v>31</v>
      </c>
      <c r="F40" s="1947"/>
      <c r="G40" s="727">
        <f t="shared" si="1"/>
        <v>0</v>
      </c>
      <c r="H40" s="348"/>
      <c r="I40" s="391"/>
    </row>
    <row r="41" spans="1:12" ht="16.350000000000001" customHeight="1" x14ac:dyDescent="0.25">
      <c r="A41" s="237">
        <v>41</v>
      </c>
      <c r="B41" s="758"/>
      <c r="C41" s="1643" t="s">
        <v>891</v>
      </c>
      <c r="D41" s="1644"/>
      <c r="E41" s="731"/>
      <c r="F41" s="1947"/>
      <c r="G41" s="727">
        <f t="shared" si="1"/>
        <v>0</v>
      </c>
      <c r="H41" s="1278"/>
      <c r="I41" s="1279"/>
      <c r="J41" s="391"/>
    </row>
    <row r="42" spans="1:12" ht="16.350000000000001" customHeight="1" thickBot="1" x14ac:dyDescent="0.3">
      <c r="A42" s="237">
        <v>42</v>
      </c>
      <c r="B42" s="758"/>
      <c r="C42" s="1643" t="s">
        <v>836</v>
      </c>
      <c r="D42" s="1644"/>
      <c r="E42" s="731"/>
      <c r="F42" s="1947"/>
      <c r="G42" s="727">
        <f t="shared" si="1"/>
        <v>0</v>
      </c>
      <c r="H42" s="1273"/>
      <c r="I42" s="1274"/>
      <c r="J42" s="1274"/>
      <c r="K42" s="1274"/>
      <c r="L42" s="1274"/>
    </row>
    <row r="43" spans="1:12" ht="16.350000000000001" customHeight="1" x14ac:dyDescent="0.25">
      <c r="A43" s="237">
        <v>43</v>
      </c>
      <c r="B43" s="758"/>
      <c r="C43" s="1643" t="s">
        <v>293</v>
      </c>
      <c r="D43" s="1644"/>
      <c r="E43" s="731"/>
      <c r="F43" s="1947"/>
      <c r="G43" s="727">
        <f t="shared" si="1"/>
        <v>0</v>
      </c>
      <c r="H43" s="1653" t="s">
        <v>1087</v>
      </c>
      <c r="I43" s="1654"/>
      <c r="J43" s="1654"/>
      <c r="K43" s="1654"/>
      <c r="L43" s="1655"/>
    </row>
    <row r="44" spans="1:12" s="343" customFormat="1" ht="16.350000000000001" customHeight="1" x14ac:dyDescent="0.25">
      <c r="A44" s="237">
        <v>44</v>
      </c>
      <c r="B44" s="758"/>
      <c r="C44" s="762" t="s">
        <v>518</v>
      </c>
      <c r="D44" s="741"/>
      <c r="E44" s="731"/>
      <c r="F44" s="1947"/>
      <c r="G44" s="727">
        <f t="shared" si="1"/>
        <v>0</v>
      </c>
      <c r="H44" s="1656"/>
      <c r="I44" s="1657"/>
      <c r="J44" s="1657"/>
      <c r="K44" s="1657"/>
      <c r="L44" s="1658"/>
    </row>
    <row r="45" spans="1:12" ht="16.350000000000001" customHeight="1" x14ac:dyDescent="0.25">
      <c r="A45" s="237">
        <v>45</v>
      </c>
      <c r="B45" s="758"/>
      <c r="C45" s="1949"/>
      <c r="D45" s="728" t="s">
        <v>294</v>
      </c>
      <c r="E45" s="731" t="s">
        <v>295</v>
      </c>
      <c r="F45" s="1947"/>
      <c r="G45" s="727">
        <f t="shared" si="1"/>
        <v>0</v>
      </c>
      <c r="H45" s="1656"/>
      <c r="I45" s="1657"/>
      <c r="J45" s="1657"/>
      <c r="K45" s="1657"/>
      <c r="L45" s="1658"/>
    </row>
    <row r="46" spans="1:12" ht="16.350000000000001" customHeight="1" x14ac:dyDescent="0.25">
      <c r="A46" s="237">
        <v>46</v>
      </c>
      <c r="B46" s="758"/>
      <c r="C46" s="1949" t="s">
        <v>958</v>
      </c>
      <c r="D46" s="728" t="s">
        <v>294</v>
      </c>
      <c r="E46" s="731" t="s">
        <v>296</v>
      </c>
      <c r="F46" s="1947"/>
      <c r="G46" s="727">
        <f t="shared" si="1"/>
        <v>0</v>
      </c>
      <c r="H46" s="1280" t="e">
        <f>'Depreciation Schedule'!I9</f>
        <v>#DIV/0!</v>
      </c>
      <c r="I46" s="1282"/>
      <c r="J46" s="1275" t="s">
        <v>1086</v>
      </c>
      <c r="K46" s="1276"/>
      <c r="L46" s="1277"/>
    </row>
    <row r="47" spans="1:12" ht="16.350000000000001" customHeight="1" x14ac:dyDescent="0.25">
      <c r="A47" s="237">
        <v>47</v>
      </c>
      <c r="B47" s="758"/>
      <c r="C47" s="1949"/>
      <c r="D47" s="728" t="s">
        <v>294</v>
      </c>
      <c r="E47" s="731" t="s">
        <v>297</v>
      </c>
      <c r="F47" s="1947"/>
      <c r="G47" s="727">
        <f t="shared" si="1"/>
        <v>0</v>
      </c>
      <c r="H47" s="1283"/>
      <c r="I47" s="1281">
        <f>'IS Schedules'!D33</f>
        <v>0</v>
      </c>
      <c r="J47" s="1275" t="s">
        <v>1088</v>
      </c>
      <c r="K47" s="1276"/>
      <c r="L47" s="1277"/>
    </row>
    <row r="48" spans="1:12" ht="16.350000000000001" customHeight="1" x14ac:dyDescent="0.25">
      <c r="A48" s="237">
        <v>48</v>
      </c>
      <c r="B48" s="758"/>
      <c r="C48" s="763" t="s">
        <v>827</v>
      </c>
      <c r="D48" s="733" t="s">
        <v>831</v>
      </c>
      <c r="E48" s="731"/>
      <c r="F48" s="1947"/>
      <c r="G48" s="727">
        <f t="shared" si="1"/>
        <v>0</v>
      </c>
      <c r="H48" s="1329">
        <f>'BS Schedules'!H210</f>
        <v>0</v>
      </c>
      <c r="I48" s="1330">
        <f>'BS Schedules'!H210</f>
        <v>0</v>
      </c>
      <c r="J48" s="1331" t="s">
        <v>993</v>
      </c>
      <c r="K48" s="1332"/>
      <c r="L48" s="1333"/>
    </row>
    <row r="49" spans="1:12" ht="23.45" customHeight="1" thickBot="1" x14ac:dyDescent="0.3">
      <c r="A49" s="237">
        <v>49</v>
      </c>
      <c r="B49" s="758"/>
      <c r="C49" s="762" t="s">
        <v>1155</v>
      </c>
      <c r="D49" s="1628" t="s">
        <v>1156</v>
      </c>
      <c r="E49" s="1628"/>
      <c r="F49" s="1948"/>
      <c r="G49" s="1950"/>
      <c r="H49" s="1334" t="e">
        <f>SUM(H46:H48)</f>
        <v>#DIV/0!</v>
      </c>
      <c r="I49" s="1335">
        <f>SUM(I47:I48)</f>
        <v>0</v>
      </c>
      <c r="J49" s="1336" t="s">
        <v>994</v>
      </c>
      <c r="K49" s="1337"/>
      <c r="L49" s="1338"/>
    </row>
    <row r="50" spans="1:12" s="343" customFormat="1" ht="16.350000000000001" customHeight="1" x14ac:dyDescent="0.25">
      <c r="A50" s="237">
        <v>50</v>
      </c>
      <c r="B50" s="758"/>
      <c r="C50" s="759" t="s">
        <v>515</v>
      </c>
      <c r="D50" s="733" t="s">
        <v>861</v>
      </c>
      <c r="E50" s="742"/>
      <c r="F50" s="687" t="s">
        <v>253</v>
      </c>
      <c r="G50" s="734">
        <f>'IS Schedules'!K15</f>
        <v>0</v>
      </c>
    </row>
    <row r="51" spans="1:12" s="343" customFormat="1" ht="16.350000000000001" customHeight="1" x14ac:dyDescent="0.25">
      <c r="A51" s="237">
        <v>51</v>
      </c>
      <c r="B51" s="758"/>
      <c r="C51" s="759" t="s">
        <v>516</v>
      </c>
      <c r="D51" s="733" t="s">
        <v>861</v>
      </c>
      <c r="E51" s="742"/>
      <c r="F51" s="687" t="s">
        <v>253</v>
      </c>
      <c r="G51" s="734">
        <f>'IS Schedules'!K21</f>
        <v>0</v>
      </c>
    </row>
    <row r="52" spans="1:12" ht="16.350000000000001" customHeight="1" x14ac:dyDescent="0.25">
      <c r="A52" s="237">
        <v>52</v>
      </c>
      <c r="B52" s="758"/>
      <c r="C52" s="713"/>
      <c r="D52" s="761" t="s">
        <v>517</v>
      </c>
      <c r="E52" s="735"/>
      <c r="F52" s="743">
        <f>SUM(F22:F49)</f>
        <v>0</v>
      </c>
      <c r="G52" s="744">
        <f>SUM(G22:G51)</f>
        <v>0</v>
      </c>
      <c r="H52" s="445"/>
    </row>
    <row r="53" spans="1:12" ht="30.95" customHeight="1" x14ac:dyDescent="0.3">
      <c r="A53" s="237">
        <v>53</v>
      </c>
      <c r="B53" s="1631" t="s">
        <v>298</v>
      </c>
      <c r="C53" s="1632"/>
      <c r="D53" s="1632"/>
      <c r="E53" s="882"/>
      <c r="F53" s="880" t="s">
        <v>513</v>
      </c>
      <c r="G53" s="881" t="s">
        <v>514</v>
      </c>
      <c r="H53" s="441"/>
    </row>
    <row r="54" spans="1:12" ht="16.350000000000001" customHeight="1" x14ac:dyDescent="0.25">
      <c r="A54" s="237">
        <v>54</v>
      </c>
      <c r="B54" s="764"/>
      <c r="C54" s="713"/>
      <c r="D54" s="761" t="s">
        <v>310</v>
      </c>
      <c r="E54" s="735"/>
      <c r="F54" s="746">
        <f>F19-F52</f>
        <v>0</v>
      </c>
      <c r="G54" s="747">
        <f>G19-G52</f>
        <v>0</v>
      </c>
      <c r="H54" s="446"/>
    </row>
    <row r="55" spans="1:12" ht="16.350000000000001" customHeight="1" x14ac:dyDescent="0.25">
      <c r="A55" s="237">
        <v>55</v>
      </c>
      <c r="B55" s="758"/>
      <c r="C55" s="1629" t="s">
        <v>613</v>
      </c>
      <c r="D55" s="1630"/>
      <c r="E55" s="735"/>
      <c r="F55" s="1951"/>
      <c r="G55" s="727">
        <f t="shared" ref="G55:G56" si="2">F55</f>
        <v>0</v>
      </c>
      <c r="H55" s="348"/>
    </row>
    <row r="56" spans="1:12" ht="16.350000000000001" customHeight="1" x14ac:dyDescent="0.25">
      <c r="A56" s="237">
        <v>56</v>
      </c>
      <c r="B56" s="758"/>
      <c r="C56" s="1629" t="s">
        <v>614</v>
      </c>
      <c r="D56" s="1630"/>
      <c r="E56" s="735"/>
      <c r="F56" s="1951"/>
      <c r="G56" s="727">
        <f t="shared" si="2"/>
        <v>0</v>
      </c>
      <c r="H56" s="348"/>
    </row>
    <row r="57" spans="1:12" s="343" customFormat="1" ht="16.350000000000001" customHeight="1" x14ac:dyDescent="0.25">
      <c r="A57" s="237">
        <v>57</v>
      </c>
      <c r="B57" s="758"/>
      <c r="C57" s="760" t="s">
        <v>503</v>
      </c>
      <c r="D57" s="733" t="s">
        <v>861</v>
      </c>
      <c r="E57" s="735"/>
      <c r="F57" s="687" t="s">
        <v>253</v>
      </c>
      <c r="G57" s="748">
        <f>'IS Schedules'!K26</f>
        <v>0</v>
      </c>
      <c r="H57" s="447"/>
    </row>
    <row r="58" spans="1:12" s="339" customFormat="1" ht="18" customHeight="1" x14ac:dyDescent="0.25">
      <c r="A58" s="237">
        <v>58</v>
      </c>
      <c r="B58" s="758"/>
      <c r="C58" s="1629" t="s">
        <v>505</v>
      </c>
      <c r="D58" s="1630"/>
      <c r="E58" s="732" t="s">
        <v>504</v>
      </c>
      <c r="F58" s="1952"/>
      <c r="G58" s="749">
        <f t="shared" ref="G58" si="3">F58</f>
        <v>0</v>
      </c>
      <c r="H58" s="436"/>
    </row>
    <row r="59" spans="1:12" s="391" customFormat="1" ht="18" customHeight="1" x14ac:dyDescent="0.25">
      <c r="A59" s="237">
        <v>59</v>
      </c>
      <c r="B59" s="758"/>
      <c r="C59" s="760" t="s">
        <v>642</v>
      </c>
      <c r="D59" s="733" t="s">
        <v>643</v>
      </c>
      <c r="E59" s="732"/>
      <c r="F59" s="687" t="s">
        <v>253</v>
      </c>
      <c r="G59" s="750">
        <f>'BS Schedules'!K145</f>
        <v>0</v>
      </c>
      <c r="H59" s="241"/>
    </row>
    <row r="60" spans="1:12" s="339" customFormat="1" ht="16.350000000000001" customHeight="1" x14ac:dyDescent="0.25">
      <c r="A60" s="237">
        <v>60</v>
      </c>
      <c r="B60" s="758"/>
      <c r="C60" s="760" t="s">
        <v>830</v>
      </c>
      <c r="D60" s="733" t="s">
        <v>862</v>
      </c>
      <c r="E60" s="731"/>
      <c r="F60" s="1952"/>
      <c r="G60" s="727">
        <f t="shared" ref="G60:G61" si="4">F60</f>
        <v>0</v>
      </c>
      <c r="H60" s="348"/>
    </row>
    <row r="61" spans="1:12" s="339" customFormat="1" ht="16.350000000000001" customHeight="1" x14ac:dyDescent="0.25">
      <c r="A61" s="237">
        <v>61</v>
      </c>
      <c r="B61" s="758"/>
      <c r="C61" s="760" t="s">
        <v>825</v>
      </c>
      <c r="D61" s="733" t="s">
        <v>863</v>
      </c>
      <c r="E61" s="731"/>
      <c r="F61" s="1953"/>
      <c r="G61" s="751">
        <f t="shared" si="4"/>
        <v>0</v>
      </c>
      <c r="H61" s="349"/>
    </row>
    <row r="62" spans="1:12" ht="16.350000000000001" customHeight="1" x14ac:dyDescent="0.25">
      <c r="A62" s="237">
        <v>62</v>
      </c>
      <c r="B62" s="758"/>
      <c r="C62" s="1637" t="s">
        <v>311</v>
      </c>
      <c r="D62" s="1638"/>
      <c r="E62" s="731"/>
      <c r="F62" s="752">
        <f>F54-F55-F56+F58+F60-F61</f>
        <v>0</v>
      </c>
      <c r="G62" s="753">
        <f>G54-G55-G56-G57+G58+G59+G60-G61</f>
        <v>0</v>
      </c>
      <c r="H62" s="240"/>
    </row>
    <row r="63" spans="1:12" ht="16.350000000000001" customHeight="1" x14ac:dyDescent="0.25">
      <c r="A63" s="237">
        <v>63</v>
      </c>
      <c r="B63" s="758"/>
      <c r="C63" s="1633" t="s">
        <v>555</v>
      </c>
      <c r="D63" s="1634"/>
      <c r="E63" s="731"/>
      <c r="F63" s="1954"/>
      <c r="G63" s="727">
        <f t="shared" ref="G63:G66" si="5">F63</f>
        <v>0</v>
      </c>
      <c r="H63" s="348"/>
    </row>
    <row r="64" spans="1:12" s="391" customFormat="1" ht="16.350000000000001" customHeight="1" x14ac:dyDescent="0.25">
      <c r="A64" s="237">
        <v>64</v>
      </c>
      <c r="B64" s="758"/>
      <c r="C64" s="759" t="s">
        <v>519</v>
      </c>
      <c r="D64" s="733" t="s">
        <v>861</v>
      </c>
      <c r="E64" s="731"/>
      <c r="F64" s="687" t="s">
        <v>253</v>
      </c>
      <c r="G64" s="750">
        <f>'IS Schedules'!K30</f>
        <v>0</v>
      </c>
      <c r="H64" s="348"/>
    </row>
    <row r="65" spans="1:8" s="343" customFormat="1" ht="16.350000000000001" customHeight="1" x14ac:dyDescent="0.25">
      <c r="A65" s="237">
        <v>65</v>
      </c>
      <c r="B65" s="758"/>
      <c r="C65" s="713" t="s">
        <v>828</v>
      </c>
      <c r="D65" s="759"/>
      <c r="E65" s="731"/>
      <c r="F65" s="1954"/>
      <c r="G65" s="727">
        <f t="shared" si="5"/>
        <v>0</v>
      </c>
      <c r="H65" s="348"/>
    </row>
    <row r="66" spans="1:8" s="343" customFormat="1" ht="16.350000000000001" customHeight="1" x14ac:dyDescent="0.25">
      <c r="A66" s="237">
        <v>66</v>
      </c>
      <c r="B66" s="758"/>
      <c r="C66" s="713" t="s">
        <v>829</v>
      </c>
      <c r="D66" s="759"/>
      <c r="E66" s="731"/>
      <c r="F66" s="1954"/>
      <c r="G66" s="751">
        <f t="shared" si="5"/>
        <v>0</v>
      </c>
      <c r="H66" s="349"/>
    </row>
    <row r="67" spans="1:8" ht="16.350000000000001" customHeight="1" thickBot="1" x14ac:dyDescent="0.3">
      <c r="A67" s="237">
        <v>67</v>
      </c>
      <c r="B67" s="765"/>
      <c r="C67" s="1626" t="s">
        <v>520</v>
      </c>
      <c r="D67" s="1627"/>
      <c r="E67" s="755"/>
      <c r="F67" s="756">
        <f>F62-F63+F65-F66</f>
        <v>0</v>
      </c>
      <c r="G67" s="757">
        <f>G62-G63+G65-G66-G64</f>
        <v>0</v>
      </c>
      <c r="H67" s="448"/>
    </row>
    <row r="68" spans="1:8" ht="32.65" customHeight="1" thickBot="1" x14ac:dyDescent="0.3">
      <c r="A68" s="237">
        <v>68</v>
      </c>
      <c r="D68" s="242"/>
      <c r="E68" s="346"/>
      <c r="F68" s="243"/>
      <c r="G68" s="243"/>
      <c r="H68" s="243"/>
    </row>
    <row r="69" spans="1:8" ht="24" customHeight="1" thickBot="1" x14ac:dyDescent="0.3">
      <c r="A69" s="237">
        <v>69</v>
      </c>
      <c r="B69" s="1645">
        <f>'Input Sheet'!C4</f>
        <v>0</v>
      </c>
      <c r="C69" s="1646"/>
      <c r="D69" s="1647"/>
      <c r="E69" s="1063"/>
      <c r="F69" s="1624">
        <f>F$2</f>
        <v>0</v>
      </c>
      <c r="G69" s="1625"/>
      <c r="H69" s="205"/>
    </row>
    <row r="70" spans="1:8" ht="32.65" customHeight="1" x14ac:dyDescent="0.3">
      <c r="A70" s="237">
        <v>70</v>
      </c>
      <c r="B70" s="1635" t="s">
        <v>300</v>
      </c>
      <c r="C70" s="1636"/>
      <c r="D70" s="1636"/>
      <c r="E70" s="883"/>
      <c r="F70" s="880" t="s">
        <v>513</v>
      </c>
      <c r="G70" s="881" t="s">
        <v>514</v>
      </c>
      <c r="H70" s="441"/>
    </row>
    <row r="71" spans="1:8" s="340" customFormat="1" ht="16.350000000000001" customHeight="1" x14ac:dyDescent="0.25">
      <c r="A71" s="237">
        <v>71</v>
      </c>
      <c r="B71" s="758"/>
      <c r="C71" s="1639" t="s">
        <v>521</v>
      </c>
      <c r="D71" s="1640"/>
      <c r="E71" s="731" t="s">
        <v>299</v>
      </c>
      <c r="F71" s="766">
        <f>F55+F56</f>
        <v>0</v>
      </c>
      <c r="G71" s="767">
        <f>G55+G56+G57</f>
        <v>0</v>
      </c>
      <c r="H71" s="442"/>
    </row>
    <row r="72" spans="1:8" s="337" customFormat="1" ht="16.350000000000001" customHeight="1" x14ac:dyDescent="0.25">
      <c r="A72" s="237">
        <v>72</v>
      </c>
      <c r="B72" s="758"/>
      <c r="C72" s="1639" t="s">
        <v>522</v>
      </c>
      <c r="D72" s="1640"/>
      <c r="E72" s="735"/>
      <c r="F72" s="768">
        <f>F52-F49</f>
        <v>0</v>
      </c>
      <c r="G72" s="769">
        <f>G52-G49</f>
        <v>0</v>
      </c>
      <c r="H72" s="244"/>
    </row>
    <row r="73" spans="1:8" ht="16.350000000000001" customHeight="1" x14ac:dyDescent="0.25">
      <c r="A73" s="237">
        <v>73</v>
      </c>
      <c r="B73" s="758"/>
      <c r="C73" s="1633" t="s">
        <v>523</v>
      </c>
      <c r="D73" s="1634"/>
      <c r="E73" s="735"/>
      <c r="F73" s="768">
        <f>F54-F55-F56</f>
        <v>0</v>
      </c>
      <c r="G73" s="769">
        <f>G54-G55-G56-G57</f>
        <v>0</v>
      </c>
      <c r="H73" s="244"/>
    </row>
    <row r="74" spans="1:8" s="341" customFormat="1" ht="16.350000000000001" customHeight="1" x14ac:dyDescent="0.25">
      <c r="A74" s="237">
        <v>74</v>
      </c>
      <c r="B74" s="758"/>
      <c r="C74" s="1633" t="s">
        <v>620</v>
      </c>
      <c r="D74" s="1634"/>
      <c r="E74" s="735"/>
      <c r="F74" s="768">
        <f>F54+F49</f>
        <v>0</v>
      </c>
      <c r="G74" s="769">
        <f>G54+G49</f>
        <v>0</v>
      </c>
      <c r="H74" s="244"/>
    </row>
    <row r="75" spans="1:8" s="341" customFormat="1" ht="16.350000000000001" customHeight="1" x14ac:dyDescent="0.25">
      <c r="A75" s="237">
        <v>75</v>
      </c>
      <c r="B75" s="758"/>
      <c r="C75" s="1633" t="s">
        <v>928</v>
      </c>
      <c r="D75" s="1634"/>
      <c r="E75" s="735"/>
      <c r="F75" s="768">
        <f>F54</f>
        <v>0</v>
      </c>
      <c r="G75" s="769">
        <f>G54</f>
        <v>0</v>
      </c>
      <c r="H75" s="244"/>
    </row>
    <row r="76" spans="1:8" s="341" customFormat="1" ht="16.350000000000001" customHeight="1" thickBot="1" x14ac:dyDescent="0.3">
      <c r="A76" s="237">
        <v>76</v>
      </c>
      <c r="B76" s="765"/>
      <c r="C76" s="1641" t="s">
        <v>908</v>
      </c>
      <c r="D76" s="1642"/>
      <c r="E76" s="770"/>
      <c r="F76" s="771">
        <f>F54-F55-F56</f>
        <v>0</v>
      </c>
      <c r="G76" s="772">
        <f>G54-G55-G56-G57</f>
        <v>0</v>
      </c>
      <c r="H76" s="244"/>
    </row>
  </sheetData>
  <sheetProtection sheet="1" objects="1" scenarios="1" selectLockedCells="1"/>
  <mergeCells count="58">
    <mergeCell ref="H43:L45"/>
    <mergeCell ref="B1:G1"/>
    <mergeCell ref="F2:G2"/>
    <mergeCell ref="B3:D3"/>
    <mergeCell ref="C4:D4"/>
    <mergeCell ref="C5:D5"/>
    <mergeCell ref="C6:D6"/>
    <mergeCell ref="C9:D9"/>
    <mergeCell ref="C10:D10"/>
    <mergeCell ref="C11:D11"/>
    <mergeCell ref="C12:D12"/>
    <mergeCell ref="C8:D8"/>
    <mergeCell ref="C13:D13"/>
    <mergeCell ref="C14:D14"/>
    <mergeCell ref="C43:D43"/>
    <mergeCell ref="C35:D35"/>
    <mergeCell ref="C36:D36"/>
    <mergeCell ref="C42:D42"/>
    <mergeCell ref="C39:D39"/>
    <mergeCell ref="C40:D40"/>
    <mergeCell ref="C41:D41"/>
    <mergeCell ref="C15:D15"/>
    <mergeCell ref="C33:D33"/>
    <mergeCell ref="C34:D34"/>
    <mergeCell ref="C32:D32"/>
    <mergeCell ref="B21:D21"/>
    <mergeCell ref="D17:E17"/>
    <mergeCell ref="B20:D20"/>
    <mergeCell ref="C76:D76"/>
    <mergeCell ref="B2:D2"/>
    <mergeCell ref="C37:D37"/>
    <mergeCell ref="C38:D38"/>
    <mergeCell ref="C28:D28"/>
    <mergeCell ref="C29:D29"/>
    <mergeCell ref="C30:D30"/>
    <mergeCell ref="C31:D31"/>
    <mergeCell ref="C22:D22"/>
    <mergeCell ref="C23:D23"/>
    <mergeCell ref="C24:D24"/>
    <mergeCell ref="C25:D25"/>
    <mergeCell ref="C26:D26"/>
    <mergeCell ref="C27:D27"/>
    <mergeCell ref="C73:D73"/>
    <mergeCell ref="B69:D69"/>
    <mergeCell ref="C74:D74"/>
    <mergeCell ref="C75:D75"/>
    <mergeCell ref="B70:D70"/>
    <mergeCell ref="C62:D62"/>
    <mergeCell ref="C63:D63"/>
    <mergeCell ref="C71:D71"/>
    <mergeCell ref="C72:D72"/>
    <mergeCell ref="F69:G69"/>
    <mergeCell ref="C67:D67"/>
    <mergeCell ref="D49:E49"/>
    <mergeCell ref="C58:D58"/>
    <mergeCell ref="C56:D56"/>
    <mergeCell ref="C55:D55"/>
    <mergeCell ref="B53:D53"/>
  </mergeCells>
  <phoneticPr fontId="39" type="noConversion"/>
  <pageMargins left="0.25" right="0.25" top="0.75" bottom="0.75" header="0.3" footer="0.3"/>
  <pageSetup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91D7-F8D1-4AC0-B020-2732635E98B6}">
  <sheetPr>
    <tabColor rgb="FFFFFF81"/>
  </sheetPr>
  <dimension ref="A1:M65"/>
  <sheetViews>
    <sheetView showGridLines="0" zoomScaleNormal="100" workbookViewId="0">
      <selection activeCell="I49" sqref="I49"/>
    </sheetView>
  </sheetViews>
  <sheetFormatPr defaultRowHeight="15" x14ac:dyDescent="0.25"/>
  <cols>
    <col min="1" max="1" width="3.140625" style="343" customWidth="1"/>
    <col min="2" max="2" width="3.7109375" customWidth="1"/>
    <col min="3" max="3" width="43.140625" customWidth="1"/>
    <col min="4" max="4" width="20.140625" customWidth="1"/>
    <col min="5" max="5" width="4.28515625" customWidth="1"/>
    <col min="6" max="6" width="3.42578125" customWidth="1"/>
    <col min="7" max="7" width="2.85546875" customWidth="1"/>
    <col min="8" max="8" width="44.5703125" customWidth="1"/>
    <col min="9" max="10" width="12.42578125" customWidth="1"/>
    <col min="11" max="11" width="10.7109375" customWidth="1"/>
  </cols>
  <sheetData>
    <row r="1" spans="1:13" s="391" customFormat="1" ht="79.5" customHeight="1" thickBot="1" x14ac:dyDescent="0.3">
      <c r="A1" s="590"/>
      <c r="B1" s="1666" t="s">
        <v>860</v>
      </c>
      <c r="C1" s="1666"/>
      <c r="D1" s="1666"/>
      <c r="E1" s="1666"/>
      <c r="F1" s="1666"/>
      <c r="G1" s="1666"/>
      <c r="H1" s="1666"/>
      <c r="I1" s="1666"/>
      <c r="J1" s="1666"/>
      <c r="K1" s="1666"/>
    </row>
    <row r="2" spans="1:13" s="391" customFormat="1" ht="19.5" customHeight="1" thickBot="1" x14ac:dyDescent="0.4">
      <c r="A2" s="1667">
        <f>'Input Sheet'!C4</f>
        <v>0</v>
      </c>
      <c r="B2" s="1667"/>
      <c r="C2" s="1667"/>
      <c r="D2" s="1667"/>
      <c r="E2" s="1668" t="s">
        <v>854</v>
      </c>
      <c r="F2" s="1668"/>
      <c r="G2" s="1668"/>
      <c r="H2" s="591">
        <f>'Input Sheet'!C9</f>
        <v>0</v>
      </c>
      <c r="I2" s="592"/>
      <c r="J2" s="592"/>
      <c r="K2" s="998"/>
    </row>
    <row r="3" spans="1:13" ht="60" x14ac:dyDescent="0.25">
      <c r="A3" s="237">
        <v>3</v>
      </c>
      <c r="B3" s="697" t="s">
        <v>871</v>
      </c>
      <c r="C3" s="773"/>
      <c r="D3" s="774">
        <f>'Input Sheet'!C9</f>
        <v>0</v>
      </c>
      <c r="E3" s="400"/>
      <c r="F3" s="237">
        <v>3</v>
      </c>
      <c r="G3" s="1670" t="s">
        <v>865</v>
      </c>
      <c r="H3" s="1671"/>
      <c r="I3" s="560" t="s">
        <v>623</v>
      </c>
      <c r="J3" s="560" t="s">
        <v>622</v>
      </c>
      <c r="K3" s="561" t="s">
        <v>44</v>
      </c>
    </row>
    <row r="4" spans="1:13" x14ac:dyDescent="0.25">
      <c r="A4" s="237">
        <v>4</v>
      </c>
      <c r="B4" s="758"/>
      <c r="C4" s="995" t="s">
        <v>996</v>
      </c>
      <c r="D4" s="1955"/>
      <c r="E4" s="14"/>
      <c r="F4" s="237">
        <v>4</v>
      </c>
      <c r="G4" s="567"/>
      <c r="H4" s="556"/>
      <c r="I4" s="556"/>
      <c r="J4" s="556"/>
      <c r="K4" s="568"/>
    </row>
    <row r="5" spans="1:13" x14ac:dyDescent="0.25">
      <c r="A5" s="237">
        <v>5</v>
      </c>
      <c r="B5" s="758"/>
      <c r="C5" s="995" t="s">
        <v>997</v>
      </c>
      <c r="D5" s="1955"/>
      <c r="E5" s="400"/>
      <c r="F5" s="237">
        <v>5</v>
      </c>
      <c r="G5" s="1672" t="s">
        <v>834</v>
      </c>
      <c r="H5" s="1673"/>
      <c r="I5" s="1673"/>
      <c r="J5" s="1673"/>
      <c r="K5" s="1674"/>
      <c r="M5" s="83"/>
    </row>
    <row r="6" spans="1:13" s="391" customFormat="1" x14ac:dyDescent="0.25">
      <c r="A6" s="237">
        <v>6</v>
      </c>
      <c r="B6" s="758"/>
      <c r="C6" s="995" t="s">
        <v>1078</v>
      </c>
      <c r="D6" s="739">
        <f>'Balance Sheets'!I8</f>
        <v>0</v>
      </c>
      <c r="E6" s="400"/>
      <c r="F6" s="237">
        <v>6</v>
      </c>
      <c r="G6" s="567"/>
      <c r="H6" s="613" t="s">
        <v>164</v>
      </c>
      <c r="I6" s="562">
        <f>'Balance Sheets'!G10</f>
        <v>0</v>
      </c>
      <c r="J6" s="562">
        <f>'Balance Sheets'!I10</f>
        <v>0</v>
      </c>
      <c r="K6" s="527">
        <f>I6-J6</f>
        <v>0</v>
      </c>
      <c r="M6" s="83"/>
    </row>
    <row r="7" spans="1:13" x14ac:dyDescent="0.25">
      <c r="A7" s="237">
        <v>7</v>
      </c>
      <c r="B7" s="758"/>
      <c r="C7" s="1261" t="s">
        <v>1079</v>
      </c>
      <c r="D7" s="739">
        <f>'Balance Sheets'!I9</f>
        <v>0</v>
      </c>
      <c r="F7" s="237">
        <v>7</v>
      </c>
      <c r="G7" s="782"/>
      <c r="H7" s="613" t="s">
        <v>112</v>
      </c>
      <c r="I7" s="565">
        <f>'Balance Sheets'!G11</f>
        <v>0</v>
      </c>
      <c r="J7" s="565">
        <f>'Balance Sheets'!I11</f>
        <v>0</v>
      </c>
      <c r="K7" s="543">
        <f>I7-J7</f>
        <v>0</v>
      </c>
      <c r="M7" s="203"/>
    </row>
    <row r="8" spans="1:13" s="343" customFormat="1" x14ac:dyDescent="0.25">
      <c r="A8" s="237">
        <v>8</v>
      </c>
      <c r="B8" s="758"/>
      <c r="C8" s="1261" t="s">
        <v>1080</v>
      </c>
      <c r="D8" s="1259">
        <f>'Balance Sheets'!G8</f>
        <v>0</v>
      </c>
      <c r="E8" s="400"/>
      <c r="F8" s="237">
        <v>8</v>
      </c>
      <c r="G8" s="782"/>
      <c r="H8" s="610" t="s">
        <v>824</v>
      </c>
      <c r="I8" s="565">
        <f>'Balance Sheets'!G12</f>
        <v>0</v>
      </c>
      <c r="J8" s="565">
        <f>'Balance Sheets'!I12</f>
        <v>0</v>
      </c>
      <c r="K8" s="543">
        <f>I8-J8</f>
        <v>0</v>
      </c>
      <c r="M8" s="203"/>
    </row>
    <row r="9" spans="1:13" x14ac:dyDescent="0.25">
      <c r="A9" s="237">
        <v>9</v>
      </c>
      <c r="B9" s="758"/>
      <c r="C9" s="1261" t="s">
        <v>1081</v>
      </c>
      <c r="D9" s="739">
        <f>+'Balance Sheets'!G9</f>
        <v>0</v>
      </c>
      <c r="E9" s="400"/>
      <c r="F9" s="237">
        <v>9</v>
      </c>
      <c r="G9" s="782"/>
      <c r="H9" s="610" t="s">
        <v>859</v>
      </c>
      <c r="I9" s="565">
        <f>'Balance Sheets'!F17</f>
        <v>0</v>
      </c>
      <c r="J9" s="565">
        <f>'Balance Sheets'!H17</f>
        <v>0</v>
      </c>
      <c r="K9" s="543">
        <f>I9-J9</f>
        <v>0</v>
      </c>
      <c r="M9" s="203"/>
    </row>
    <row r="10" spans="1:13" s="391" customFormat="1" x14ac:dyDescent="0.25">
      <c r="A10" s="237">
        <v>10</v>
      </c>
      <c r="B10" s="758"/>
      <c r="C10" s="1262" t="s">
        <v>1082</v>
      </c>
      <c r="D10" s="1260">
        <f>(D4-D5)+(D8-D6)</f>
        <v>0</v>
      </c>
      <c r="E10" s="400"/>
      <c r="F10" s="237">
        <v>10</v>
      </c>
      <c r="G10" s="783"/>
      <c r="H10" s="784"/>
      <c r="I10" s="563"/>
      <c r="J10" s="563" t="s">
        <v>833</v>
      </c>
      <c r="K10" s="587">
        <f>SUM(K6:K9)</f>
        <v>0</v>
      </c>
      <c r="M10" s="203"/>
    </row>
    <row r="11" spans="1:13" s="391" customFormat="1" ht="15.75" thickBot="1" x14ac:dyDescent="0.3">
      <c r="A11" s="237">
        <v>11</v>
      </c>
      <c r="B11" s="765"/>
      <c r="C11" s="776" t="s">
        <v>1083</v>
      </c>
      <c r="D11" s="775">
        <f>(D4-D5)+((D8+D9)-(D6+D7))</f>
        <v>0</v>
      </c>
      <c r="E11" s="400"/>
      <c r="F11" s="237">
        <v>11</v>
      </c>
      <c r="G11" s="569"/>
      <c r="H11" s="555"/>
      <c r="I11" s="555"/>
      <c r="J11" s="555"/>
      <c r="K11" s="570"/>
      <c r="M11" s="203"/>
    </row>
    <row r="12" spans="1:13" s="391" customFormat="1" ht="14.45" customHeight="1" thickBot="1" x14ac:dyDescent="0.3">
      <c r="A12" s="237">
        <v>12</v>
      </c>
      <c r="E12" s="400"/>
      <c r="F12" s="237">
        <v>12</v>
      </c>
      <c r="G12" s="785" t="s">
        <v>835</v>
      </c>
      <c r="H12" s="786"/>
      <c r="I12" s="601"/>
      <c r="J12" s="601"/>
      <c r="K12" s="602"/>
      <c r="M12" s="203"/>
    </row>
    <row r="13" spans="1:13" s="391" customFormat="1" ht="14.1" customHeight="1" x14ac:dyDescent="0.25">
      <c r="A13" s="237">
        <v>13</v>
      </c>
      <c r="B13" s="697" t="s">
        <v>852</v>
      </c>
      <c r="C13" s="777"/>
      <c r="D13" s="774">
        <f>D3</f>
        <v>0</v>
      </c>
      <c r="E13" s="400"/>
      <c r="F13" s="237">
        <v>13</v>
      </c>
      <c r="G13" s="785"/>
      <c r="H13" s="612" t="s">
        <v>823</v>
      </c>
      <c r="I13" s="604">
        <f>'Balance Sheets'!G13</f>
        <v>0</v>
      </c>
      <c r="J13" s="604">
        <f>'Balance Sheets'!I13</f>
        <v>0</v>
      </c>
      <c r="K13" s="543">
        <f>I13-J13</f>
        <v>0</v>
      </c>
      <c r="M13" s="203"/>
    </row>
    <row r="14" spans="1:13" s="391" customFormat="1" ht="14.1" customHeight="1" x14ac:dyDescent="0.25">
      <c r="A14" s="237">
        <v>14</v>
      </c>
      <c r="B14" s="758"/>
      <c r="C14" s="780"/>
      <c r="D14" s="996" t="s">
        <v>1084</v>
      </c>
      <c r="E14" s="400"/>
      <c r="F14" s="237">
        <v>14</v>
      </c>
      <c r="G14" s="567"/>
      <c r="H14" s="612" t="s">
        <v>107</v>
      </c>
      <c r="I14" s="564">
        <f>'Balance Sheets'!G14</f>
        <v>0</v>
      </c>
      <c r="J14" s="564">
        <f>'Balance Sheets'!I14</f>
        <v>0</v>
      </c>
      <c r="K14" s="527">
        <f>I14-J14</f>
        <v>0</v>
      </c>
      <c r="M14" s="203"/>
    </row>
    <row r="15" spans="1:13" x14ac:dyDescent="0.25">
      <c r="A15" s="237">
        <v>15</v>
      </c>
      <c r="B15" s="758" t="s">
        <v>603</v>
      </c>
      <c r="C15" s="780"/>
      <c r="D15" s="997" t="s">
        <v>1085</v>
      </c>
      <c r="E15" s="400"/>
      <c r="F15" s="237">
        <v>15</v>
      </c>
      <c r="G15" s="783"/>
      <c r="H15" s="787"/>
      <c r="I15" s="563"/>
      <c r="J15" s="563" t="s">
        <v>832</v>
      </c>
      <c r="K15" s="587">
        <f>-SUM(K13:K14)</f>
        <v>0</v>
      </c>
    </row>
    <row r="16" spans="1:13" x14ac:dyDescent="0.25">
      <c r="A16" s="237">
        <v>16</v>
      </c>
      <c r="B16" s="758"/>
      <c r="C16" s="994" t="s">
        <v>612</v>
      </c>
      <c r="D16" s="739">
        <f>'Balance Sheets'!I19</f>
        <v>0</v>
      </c>
      <c r="E16" s="400"/>
      <c r="F16" s="237">
        <v>16</v>
      </c>
      <c r="G16" s="569"/>
      <c r="H16" s="555"/>
      <c r="I16" s="555"/>
      <c r="J16" s="555"/>
      <c r="K16" s="570"/>
    </row>
    <row r="17" spans="1:13" s="391" customFormat="1" x14ac:dyDescent="0.25">
      <c r="A17" s="237">
        <v>17</v>
      </c>
      <c r="B17" s="758"/>
      <c r="C17" s="994" t="s">
        <v>604</v>
      </c>
      <c r="D17" s="778">
        <f>'Input Sheet'!C82</f>
        <v>0</v>
      </c>
      <c r="E17" s="400"/>
      <c r="F17" s="237">
        <v>17</v>
      </c>
      <c r="G17" s="785" t="s">
        <v>45</v>
      </c>
      <c r="H17" s="786"/>
      <c r="I17" s="601"/>
      <c r="J17" s="601"/>
      <c r="K17" s="602"/>
    </row>
    <row r="18" spans="1:13" s="391" customFormat="1" x14ac:dyDescent="0.25">
      <c r="A18" s="237">
        <v>18</v>
      </c>
      <c r="B18" s="758"/>
      <c r="C18" s="994" t="s">
        <v>605</v>
      </c>
      <c r="D18" s="778">
        <f>'Input Sheet'!C76</f>
        <v>0</v>
      </c>
      <c r="E18" s="400"/>
      <c r="F18" s="237">
        <v>18</v>
      </c>
      <c r="G18" s="567"/>
      <c r="H18" s="610" t="s">
        <v>46</v>
      </c>
      <c r="I18" s="565">
        <f>'Balance Sheets'!G36</f>
        <v>0</v>
      </c>
      <c r="J18" s="565">
        <f>'Balance Sheets'!I36</f>
        <v>0</v>
      </c>
      <c r="K18" s="543">
        <f>I18-J18</f>
        <v>0</v>
      </c>
    </row>
    <row r="19" spans="1:13" x14ac:dyDescent="0.25">
      <c r="A19" s="237">
        <v>19</v>
      </c>
      <c r="B19" s="758"/>
      <c r="C19" s="994" t="s">
        <v>941</v>
      </c>
      <c r="D19" s="739">
        <f>D16+D17-D18</f>
        <v>0</v>
      </c>
      <c r="E19" s="400"/>
      <c r="F19" s="237">
        <v>19</v>
      </c>
      <c r="G19" s="567"/>
      <c r="H19" s="610" t="s">
        <v>52</v>
      </c>
      <c r="I19" s="562">
        <f>'Balance Sheets'!G43</f>
        <v>0</v>
      </c>
      <c r="J19" s="562">
        <f>'Balance Sheets'!I43</f>
        <v>0</v>
      </c>
      <c r="K19" s="527">
        <f>I19-J19</f>
        <v>0</v>
      </c>
    </row>
    <row r="20" spans="1:13" s="343" customFormat="1" x14ac:dyDescent="0.25">
      <c r="A20" s="237">
        <v>20</v>
      </c>
      <c r="B20" s="758"/>
      <c r="C20" s="994" t="s">
        <v>624</v>
      </c>
      <c r="D20" s="739">
        <f>D19*0.1</f>
        <v>0</v>
      </c>
      <c r="E20" s="400"/>
      <c r="F20" s="237">
        <v>20</v>
      </c>
      <c r="G20" s="567"/>
      <c r="H20" s="610" t="s">
        <v>48</v>
      </c>
      <c r="I20" s="562">
        <f>'Balance Sheets'!G46</f>
        <v>0</v>
      </c>
      <c r="J20" s="562">
        <f>'Balance Sheets'!I46</f>
        <v>0</v>
      </c>
      <c r="K20" s="527">
        <f>I20-J20</f>
        <v>0</v>
      </c>
    </row>
    <row r="21" spans="1:13" x14ac:dyDescent="0.25">
      <c r="A21" s="237">
        <v>21</v>
      </c>
      <c r="B21" s="758" t="s">
        <v>457</v>
      </c>
      <c r="C21" s="994"/>
      <c r="D21" s="739"/>
      <c r="E21" s="400"/>
      <c r="F21" s="237">
        <v>21</v>
      </c>
      <c r="G21" s="783"/>
      <c r="H21" s="787"/>
      <c r="I21" s="563"/>
      <c r="J21" s="563" t="s">
        <v>47</v>
      </c>
      <c r="K21" s="587">
        <f>SUM(K18:K20)</f>
        <v>0</v>
      </c>
    </row>
    <row r="22" spans="1:13" x14ac:dyDescent="0.25">
      <c r="A22" s="237">
        <v>22</v>
      </c>
      <c r="B22" s="758"/>
      <c r="C22" s="994" t="s">
        <v>612</v>
      </c>
      <c r="D22" s="739">
        <f>'Balance Sheets'!I28</f>
        <v>0</v>
      </c>
      <c r="E22" s="400"/>
      <c r="F22" s="237">
        <v>22</v>
      </c>
      <c r="G22" s="569"/>
      <c r="H22" s="555"/>
      <c r="I22" s="555"/>
      <c r="J22" s="555"/>
      <c r="K22" s="570"/>
    </row>
    <row r="23" spans="1:13" ht="15" customHeight="1" x14ac:dyDescent="0.25">
      <c r="A23" s="237">
        <v>23</v>
      </c>
      <c r="B23" s="758"/>
      <c r="C23" s="994" t="s">
        <v>604</v>
      </c>
      <c r="D23" s="778">
        <f>'Input Sheet'!C84</f>
        <v>0</v>
      </c>
      <c r="E23" s="400"/>
      <c r="F23" s="237">
        <v>23</v>
      </c>
      <c r="G23" s="567"/>
      <c r="H23" s="610" t="s">
        <v>929</v>
      </c>
      <c r="I23" s="562">
        <f>'Balance Sheets'!G40</f>
        <v>0</v>
      </c>
      <c r="J23" s="562">
        <f>'Balance Sheets'!I40</f>
        <v>0</v>
      </c>
      <c r="K23" s="527">
        <f>I23-J23</f>
        <v>0</v>
      </c>
    </row>
    <row r="24" spans="1:13" ht="16.899999999999999" customHeight="1" x14ac:dyDescent="0.25">
      <c r="A24" s="237">
        <v>24</v>
      </c>
      <c r="B24" s="758"/>
      <c r="C24" s="994" t="s">
        <v>605</v>
      </c>
      <c r="D24" s="778">
        <f>'Input Sheet'!C78</f>
        <v>0</v>
      </c>
      <c r="E24" s="400"/>
      <c r="F24" s="237">
        <v>24</v>
      </c>
      <c r="G24" s="567"/>
      <c r="H24" s="610" t="s">
        <v>196</v>
      </c>
      <c r="I24" s="562">
        <f>'Balance Sheets'!G41</f>
        <v>0</v>
      </c>
      <c r="J24" s="562">
        <f>'Balance Sheets'!I41</f>
        <v>0</v>
      </c>
      <c r="K24" s="527">
        <f>I24-J24</f>
        <v>0</v>
      </c>
    </row>
    <row r="25" spans="1:13" s="343" customFormat="1" ht="14.65" customHeight="1" x14ac:dyDescent="0.25">
      <c r="A25" s="237">
        <v>25</v>
      </c>
      <c r="B25" s="758"/>
      <c r="C25" s="994" t="s">
        <v>606</v>
      </c>
      <c r="D25" s="739">
        <f>D22+D23-D24</f>
        <v>0</v>
      </c>
      <c r="E25" s="400"/>
      <c r="F25" s="237">
        <v>25</v>
      </c>
      <c r="G25" s="567"/>
      <c r="H25" s="611" t="s">
        <v>108</v>
      </c>
      <c r="I25" s="562">
        <f>'Balance Sheets'!G42</f>
        <v>0</v>
      </c>
      <c r="J25" s="562">
        <f>'Balance Sheets'!I42</f>
        <v>0</v>
      </c>
      <c r="K25" s="527">
        <f>I25-J25</f>
        <v>0</v>
      </c>
    </row>
    <row r="26" spans="1:13" x14ac:dyDescent="0.25">
      <c r="A26" s="237">
        <v>26</v>
      </c>
      <c r="B26" s="758"/>
      <c r="C26" s="994" t="s">
        <v>625</v>
      </c>
      <c r="D26" s="778">
        <f>D25*0.05</f>
        <v>0</v>
      </c>
      <c r="E26" s="400"/>
      <c r="F26" s="237">
        <v>26</v>
      </c>
      <c r="G26" s="783"/>
      <c r="H26" s="787"/>
      <c r="I26" s="563"/>
      <c r="J26" s="563" t="s">
        <v>109</v>
      </c>
      <c r="K26" s="587">
        <f>SUM(K23:K25)</f>
        <v>0</v>
      </c>
    </row>
    <row r="27" spans="1:13" ht="14.45" customHeight="1" x14ac:dyDescent="0.25">
      <c r="A27" s="237">
        <v>27</v>
      </c>
      <c r="B27" s="758" t="s">
        <v>24</v>
      </c>
      <c r="C27" s="994"/>
      <c r="D27" s="778"/>
      <c r="E27" s="391"/>
      <c r="F27" s="237">
        <v>27</v>
      </c>
      <c r="G27" s="571"/>
      <c r="H27" s="572"/>
      <c r="I27" s="572"/>
      <c r="J27" s="572"/>
      <c r="K27" s="573"/>
    </row>
    <row r="28" spans="1:13" ht="14.1" customHeight="1" x14ac:dyDescent="0.25">
      <c r="A28" s="237">
        <v>28</v>
      </c>
      <c r="B28" s="758"/>
      <c r="C28" s="994" t="s">
        <v>612</v>
      </c>
      <c r="D28" s="739">
        <f>'Balance Sheets'!I18</f>
        <v>0</v>
      </c>
      <c r="E28" s="391"/>
      <c r="F28" s="237">
        <v>28</v>
      </c>
      <c r="G28" s="567"/>
      <c r="H28" s="610" t="s">
        <v>54</v>
      </c>
      <c r="I28" s="562">
        <f>'Balance Sheets'!G45</f>
        <v>0</v>
      </c>
      <c r="J28" s="562">
        <f>'Balance Sheets'!I45</f>
        <v>0</v>
      </c>
      <c r="K28" s="527">
        <f>I28-J28</f>
        <v>0</v>
      </c>
    </row>
    <row r="29" spans="1:13" x14ac:dyDescent="0.25">
      <c r="A29" s="237">
        <v>29</v>
      </c>
      <c r="B29" s="758"/>
      <c r="C29" s="994" t="s">
        <v>604</v>
      </c>
      <c r="D29" s="778">
        <f>'Input Sheet'!C81</f>
        <v>0</v>
      </c>
      <c r="E29" s="391"/>
      <c r="F29" s="237">
        <v>29</v>
      </c>
      <c r="G29" s="567"/>
      <c r="H29" s="610" t="s">
        <v>66</v>
      </c>
      <c r="I29" s="565">
        <f>'Balance Sheets'!G56</f>
        <v>0</v>
      </c>
      <c r="J29" s="565">
        <f>'Balance Sheets'!I56</f>
        <v>0</v>
      </c>
      <c r="K29" s="527">
        <f>I29-J29</f>
        <v>0</v>
      </c>
      <c r="M29" s="203"/>
    </row>
    <row r="30" spans="1:13" s="343" customFormat="1" x14ac:dyDescent="0.25">
      <c r="A30" s="237">
        <v>30</v>
      </c>
      <c r="B30" s="758"/>
      <c r="C30" s="994" t="s">
        <v>641</v>
      </c>
      <c r="D30" s="778">
        <f>'Input Sheet'!C75</f>
        <v>0</v>
      </c>
      <c r="E30" s="391"/>
      <c r="F30" s="237">
        <v>30</v>
      </c>
      <c r="G30" s="783"/>
      <c r="H30" s="787"/>
      <c r="I30" s="563"/>
      <c r="J30" s="563" t="s">
        <v>58</v>
      </c>
      <c r="K30" s="587">
        <f>SUM(K28:K29)</f>
        <v>0</v>
      </c>
      <c r="M30" s="203"/>
    </row>
    <row r="31" spans="1:13" s="343" customFormat="1" ht="15.75" thickBot="1" x14ac:dyDescent="0.3">
      <c r="A31" s="237">
        <v>31</v>
      </c>
      <c r="B31" s="758"/>
      <c r="C31" s="994" t="s">
        <v>606</v>
      </c>
      <c r="D31" s="739">
        <f>D28+D29-D30</f>
        <v>0</v>
      </c>
      <c r="F31" s="237">
        <v>31</v>
      </c>
      <c r="G31" s="788"/>
      <c r="H31" s="1677" t="s">
        <v>621</v>
      </c>
      <c r="I31" s="1677"/>
      <c r="J31" s="1678"/>
      <c r="K31" s="566">
        <f>K10+K15-K21-K26-K30</f>
        <v>0</v>
      </c>
      <c r="M31" s="203"/>
    </row>
    <row r="32" spans="1:13" s="343" customFormat="1" ht="16.5" customHeight="1" x14ac:dyDescent="0.25">
      <c r="A32" s="237">
        <v>32</v>
      </c>
      <c r="B32" s="758"/>
      <c r="C32" s="994" t="s">
        <v>626</v>
      </c>
      <c r="D32" s="739">
        <f>D31*0.2</f>
        <v>0</v>
      </c>
      <c r="G32" s="559">
        <v>1</v>
      </c>
      <c r="H32" s="1675" t="s">
        <v>556</v>
      </c>
      <c r="I32" s="1675"/>
      <c r="J32" s="1675"/>
      <c r="K32" s="1675"/>
      <c r="M32" s="203"/>
    </row>
    <row r="33" spans="1:13" s="343" customFormat="1" ht="15" customHeight="1" thickBot="1" x14ac:dyDescent="0.3">
      <c r="A33" s="237">
        <v>33</v>
      </c>
      <c r="B33" s="765"/>
      <c r="C33" s="781" t="s">
        <v>607</v>
      </c>
      <c r="D33" s="779">
        <f>D20+D26+D32</f>
        <v>0</v>
      </c>
      <c r="G33" s="558"/>
      <c r="H33" s="1676"/>
      <c r="I33" s="1676"/>
      <c r="J33" s="1676"/>
      <c r="K33" s="1676"/>
      <c r="M33" s="203"/>
    </row>
    <row r="34" spans="1:13" s="391" customFormat="1" ht="15" customHeight="1" x14ac:dyDescent="0.25">
      <c r="A34" s="237">
        <v>34</v>
      </c>
      <c r="F34" s="600"/>
      <c r="G34" s="558"/>
      <c r="H34" s="603"/>
      <c r="I34" s="603"/>
      <c r="J34" s="603"/>
      <c r="K34" s="603"/>
      <c r="M34" s="203"/>
    </row>
    <row r="35" spans="1:13" s="343" customFormat="1" x14ac:dyDescent="0.25">
      <c r="A35" s="237">
        <v>35</v>
      </c>
      <c r="B35" s="588"/>
      <c r="C35" s="588"/>
      <c r="D35" s="588"/>
      <c r="E35" s="588"/>
      <c r="F35" s="589"/>
      <c r="G35" s="588"/>
      <c r="H35" s="588"/>
      <c r="I35" s="588"/>
      <c r="J35" s="588"/>
      <c r="K35" s="588"/>
    </row>
    <row r="36" spans="1:13" ht="29.1" customHeight="1" thickBot="1" x14ac:dyDescent="0.3">
      <c r="A36" s="237">
        <v>36</v>
      </c>
      <c r="B36" s="1679" t="s">
        <v>853</v>
      </c>
      <c r="C36" s="1679"/>
      <c r="D36" s="1679"/>
      <c r="E36" s="1679"/>
      <c r="F36" s="1679"/>
      <c r="G36" s="1679"/>
      <c r="H36" s="1679"/>
      <c r="I36" s="1679"/>
    </row>
    <row r="37" spans="1:13" s="391" customFormat="1" ht="15" customHeight="1" x14ac:dyDescent="0.25">
      <c r="A37" s="237">
        <v>37</v>
      </c>
      <c r="B37" s="789" t="s">
        <v>855</v>
      </c>
      <c r="C37" s="773"/>
      <c r="D37" s="790">
        <f>D3</f>
        <v>0</v>
      </c>
      <c r="F37" s="574"/>
      <c r="G37" s="798" t="s">
        <v>857</v>
      </c>
      <c r="H37" s="799"/>
      <c r="I37" s="790">
        <f>D3</f>
        <v>0</v>
      </c>
    </row>
    <row r="38" spans="1:13" s="391" customFormat="1" ht="15" customHeight="1" x14ac:dyDescent="0.25">
      <c r="A38" s="237">
        <v>38</v>
      </c>
      <c r="B38" s="758"/>
      <c r="C38" s="1956"/>
      <c r="D38" s="1955"/>
      <c r="F38" s="574"/>
      <c r="G38" s="758"/>
      <c r="H38" s="1957"/>
      <c r="I38" s="1958"/>
    </row>
    <row r="39" spans="1:13" s="391" customFormat="1" ht="15" customHeight="1" x14ac:dyDescent="0.25">
      <c r="A39" s="237">
        <v>39</v>
      </c>
      <c r="B39" s="758"/>
      <c r="C39" s="1956"/>
      <c r="D39" s="1955"/>
      <c r="F39" s="574"/>
      <c r="G39" s="758"/>
      <c r="H39" s="1957"/>
      <c r="I39" s="1958"/>
    </row>
    <row r="40" spans="1:13" s="391" customFormat="1" ht="15" customHeight="1" x14ac:dyDescent="0.25">
      <c r="A40" s="237">
        <v>40</v>
      </c>
      <c r="B40" s="758"/>
      <c r="C40" s="1956"/>
      <c r="D40" s="1955"/>
      <c r="F40" s="574"/>
      <c r="G40" s="758"/>
      <c r="H40" s="1957"/>
      <c r="I40" s="1958"/>
    </row>
    <row r="41" spans="1:13" s="391" customFormat="1" ht="15" customHeight="1" x14ac:dyDescent="0.25">
      <c r="A41" s="237">
        <v>41</v>
      </c>
      <c r="B41" s="758"/>
      <c r="C41" s="1956"/>
      <c r="D41" s="1955"/>
      <c r="F41" s="574"/>
      <c r="G41" s="758"/>
      <c r="H41" s="1957"/>
      <c r="I41" s="1958"/>
    </row>
    <row r="42" spans="1:13" ht="15" customHeight="1" x14ac:dyDescent="0.25">
      <c r="A42" s="237">
        <v>42</v>
      </c>
      <c r="B42" s="758"/>
      <c r="C42" s="1956"/>
      <c r="D42" s="1955"/>
      <c r="F42" s="66"/>
      <c r="G42" s="758"/>
      <c r="H42" s="1957"/>
      <c r="I42" s="1958"/>
    </row>
    <row r="43" spans="1:13" s="343" customFormat="1" ht="15" customHeight="1" x14ac:dyDescent="0.25">
      <c r="A43" s="237">
        <v>43</v>
      </c>
      <c r="B43" s="758"/>
      <c r="C43" s="793" t="s">
        <v>1157</v>
      </c>
      <c r="D43" s="791">
        <f>SUM(D38:D42)</f>
        <v>0</v>
      </c>
      <c r="F43" s="66"/>
      <c r="G43" s="758"/>
      <c r="H43" s="793" t="s">
        <v>1157</v>
      </c>
      <c r="I43" s="791">
        <f>SUM(I38:I42)</f>
        <v>0</v>
      </c>
    </row>
    <row r="44" spans="1:13" ht="15" customHeight="1" x14ac:dyDescent="0.25">
      <c r="A44" s="237">
        <v>44</v>
      </c>
      <c r="B44" s="794" t="s">
        <v>856</v>
      </c>
      <c r="C44" s="795"/>
      <c r="D44" s="778"/>
      <c r="F44" s="66"/>
      <c r="G44" s="794" t="s">
        <v>858</v>
      </c>
      <c r="H44" s="759"/>
      <c r="I44" s="739"/>
    </row>
    <row r="45" spans="1:13" ht="15" customHeight="1" x14ac:dyDescent="0.25">
      <c r="A45" s="237">
        <v>45</v>
      </c>
      <c r="B45" s="758"/>
      <c r="C45" s="1956"/>
      <c r="D45" s="1955"/>
      <c r="F45" s="1669"/>
      <c r="G45" s="758"/>
      <c r="H45" s="1957"/>
      <c r="I45" s="1958"/>
    </row>
    <row r="46" spans="1:13" ht="15" customHeight="1" x14ac:dyDescent="0.25">
      <c r="A46" s="237">
        <v>46</v>
      </c>
      <c r="B46" s="758"/>
      <c r="C46" s="1956"/>
      <c r="D46" s="1955"/>
      <c r="F46" s="1669"/>
      <c r="G46" s="758"/>
      <c r="H46" s="1957"/>
      <c r="I46" s="1958"/>
    </row>
    <row r="47" spans="1:13" ht="15" customHeight="1" x14ac:dyDescent="0.25">
      <c r="A47" s="237">
        <v>47</v>
      </c>
      <c r="B47" s="758"/>
      <c r="C47" s="1956"/>
      <c r="D47" s="1955"/>
      <c r="F47" s="66"/>
      <c r="G47" s="758"/>
      <c r="H47" s="1957"/>
      <c r="I47" s="1958"/>
    </row>
    <row r="48" spans="1:13" ht="15" customHeight="1" x14ac:dyDescent="0.25">
      <c r="A48" s="237">
        <v>48</v>
      </c>
      <c r="B48" s="758"/>
      <c r="C48" s="1956"/>
      <c r="D48" s="1955"/>
      <c r="E48" s="443"/>
      <c r="F48" s="66"/>
      <c r="G48" s="758"/>
      <c r="H48" s="1957"/>
      <c r="I48" s="1958"/>
    </row>
    <row r="49" spans="1:9" ht="15" customHeight="1" x14ac:dyDescent="0.25">
      <c r="A49" s="237">
        <v>49</v>
      </c>
      <c r="B49" s="758"/>
      <c r="C49" s="1956"/>
      <c r="D49" s="1955"/>
      <c r="F49" s="173"/>
      <c r="G49" s="758"/>
      <c r="H49" s="1957"/>
      <c r="I49" s="1958"/>
    </row>
    <row r="50" spans="1:9" s="374" customFormat="1" ht="15" customHeight="1" thickBot="1" x14ac:dyDescent="0.3">
      <c r="A50" s="237">
        <v>50</v>
      </c>
      <c r="B50" s="765"/>
      <c r="C50" s="796" t="s">
        <v>1157</v>
      </c>
      <c r="D50" s="792">
        <f>SUM(D45:D49)</f>
        <v>0</v>
      </c>
      <c r="G50" s="765"/>
      <c r="H50" s="796" t="s">
        <v>1157</v>
      </c>
      <c r="I50" s="797">
        <f>SUM(I45:I49)</f>
        <v>0</v>
      </c>
    </row>
    <row r="51" spans="1:9" s="374" customFormat="1" ht="15" customHeight="1" x14ac:dyDescent="0.25">
      <c r="A51" s="237"/>
      <c r="B51" s="391"/>
    </row>
    <row r="52" spans="1:9" s="374" customFormat="1" ht="15" customHeight="1" x14ac:dyDescent="0.25">
      <c r="A52" s="237"/>
    </row>
    <row r="53" spans="1:9" s="374" customFormat="1" ht="15" customHeight="1" x14ac:dyDescent="0.25">
      <c r="A53" s="237"/>
    </row>
    <row r="54" spans="1:9" s="391" customFormat="1" ht="15" customHeight="1" x14ac:dyDescent="0.25">
      <c r="A54" s="237"/>
    </row>
    <row r="55" spans="1:9" s="391" customFormat="1" ht="15" customHeight="1" x14ac:dyDescent="0.25">
      <c r="A55" s="237"/>
    </row>
    <row r="56" spans="1:9" s="374" customFormat="1" ht="15" customHeight="1" x14ac:dyDescent="0.25">
      <c r="A56" s="237"/>
    </row>
    <row r="57" spans="1:9" s="343" customFormat="1" ht="15" customHeight="1" x14ac:dyDescent="0.25">
      <c r="A57" s="237"/>
    </row>
    <row r="58" spans="1:9" s="343" customFormat="1" ht="15" customHeight="1" x14ac:dyDescent="0.25">
      <c r="A58" s="237"/>
    </row>
    <row r="59" spans="1:9" s="343" customFormat="1" ht="15" customHeight="1" x14ac:dyDescent="0.25">
      <c r="A59" s="237"/>
    </row>
    <row r="60" spans="1:9" s="391" customFormat="1" ht="15" customHeight="1" x14ac:dyDescent="0.25">
      <c r="A60" s="237"/>
      <c r="E60" s="203"/>
    </row>
    <row r="61" spans="1:9" s="391" customFormat="1" ht="15" customHeight="1" x14ac:dyDescent="0.25">
      <c r="A61" s="237"/>
      <c r="E61" s="203"/>
    </row>
    <row r="62" spans="1:9" s="391" customFormat="1" ht="15" customHeight="1" x14ac:dyDescent="0.25">
      <c r="A62" s="237"/>
      <c r="E62" s="203"/>
    </row>
    <row r="63" spans="1:9" ht="15" customHeight="1" x14ac:dyDescent="0.25">
      <c r="A63" s="237"/>
      <c r="E63" s="203"/>
    </row>
    <row r="64" spans="1:9" ht="15" customHeight="1" x14ac:dyDescent="0.25">
      <c r="A64" s="237"/>
    </row>
    <row r="65" spans="1:1" ht="15" customHeight="1" x14ac:dyDescent="0.25">
      <c r="A65" s="237"/>
    </row>
  </sheetData>
  <sheetProtection sheet="1" objects="1" scenarios="1" selectLockedCells="1"/>
  <mergeCells count="9">
    <mergeCell ref="B1:K1"/>
    <mergeCell ref="A2:D2"/>
    <mergeCell ref="E2:G2"/>
    <mergeCell ref="F45:F46"/>
    <mergeCell ref="G3:H3"/>
    <mergeCell ref="G5:K5"/>
    <mergeCell ref="H32:K33"/>
    <mergeCell ref="H31:J31"/>
    <mergeCell ref="B36:I36"/>
  </mergeCells>
  <pageMargins left="0.7" right="0.7" top="0.75" bottom="0.75" header="0.3" footer="0.3"/>
  <pageSetup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91861-AB4C-4A5F-9373-311E8ABE012E}">
  <sheetPr>
    <tabColor rgb="FFFFFF81"/>
  </sheetPr>
  <dimension ref="A1:N96"/>
  <sheetViews>
    <sheetView showGridLines="0" zoomScale="90" zoomScaleNormal="90" workbookViewId="0">
      <selection activeCell="N41" sqref="N41:N42"/>
    </sheetView>
  </sheetViews>
  <sheetFormatPr defaultColWidth="8.85546875" defaultRowHeight="15.75" x14ac:dyDescent="0.25"/>
  <cols>
    <col min="1" max="1" width="3.42578125" style="207" customWidth="1"/>
    <col min="2" max="2" width="1.42578125" style="210" customWidth="1"/>
    <col min="3" max="3" width="39.7109375" style="207" customWidth="1"/>
    <col min="4" max="6" width="8.5703125" style="207" customWidth="1"/>
    <col min="7" max="7" width="14.85546875" style="207" customWidth="1"/>
    <col min="8" max="8" width="11.5703125" style="293" customWidth="1"/>
    <col min="9" max="14" width="10.7109375" style="293" customWidth="1"/>
    <col min="15" max="16384" width="8.85546875" style="207"/>
  </cols>
  <sheetData>
    <row r="1" spans="1:14" ht="25.35" customHeight="1" x14ac:dyDescent="0.25">
      <c r="A1" s="884">
        <v>1</v>
      </c>
      <c r="B1" s="1684" t="s">
        <v>302</v>
      </c>
      <c r="C1" s="1685"/>
      <c r="D1" s="1685"/>
      <c r="E1" s="1685"/>
      <c r="F1" s="1686"/>
      <c r="G1" s="1687">
        <f>'Input Sheet'!C4</f>
        <v>0</v>
      </c>
      <c r="H1" s="1688"/>
      <c r="I1" s="1688"/>
      <c r="J1" s="1689"/>
      <c r="K1" s="1705" t="s">
        <v>940</v>
      </c>
      <c r="L1" s="1706"/>
      <c r="M1" s="1706"/>
      <c r="N1" s="1707"/>
    </row>
    <row r="2" spans="1:14" x14ac:dyDescent="0.25">
      <c r="A2" s="884">
        <v>2</v>
      </c>
      <c r="B2" s="1690"/>
      <c r="C2" s="1691"/>
      <c r="D2" s="1692" t="s">
        <v>198</v>
      </c>
      <c r="E2" s="1692"/>
      <c r="F2" s="1693"/>
      <c r="G2" s="1708" t="s">
        <v>939</v>
      </c>
      <c r="H2" s="1709"/>
      <c r="I2" s="1709"/>
      <c r="J2" s="1710"/>
      <c r="K2" s="1711" t="s">
        <v>874</v>
      </c>
      <c r="L2" s="1712"/>
      <c r="M2" s="1711" t="s">
        <v>875</v>
      </c>
      <c r="N2" s="1712"/>
    </row>
    <row r="3" spans="1:14" x14ac:dyDescent="0.25">
      <c r="A3" s="884">
        <v>3</v>
      </c>
      <c r="B3" s="1694"/>
      <c r="C3" s="1695"/>
      <c r="D3" s="621" t="s">
        <v>199</v>
      </c>
      <c r="E3" s="621" t="s">
        <v>200</v>
      </c>
      <c r="F3" s="622" t="s">
        <v>201</v>
      </c>
      <c r="G3" s="698">
        <f>'Input Sheet'!C9</f>
        <v>0</v>
      </c>
      <c r="H3" s="658">
        <f>G3-1</f>
        <v>-1</v>
      </c>
      <c r="I3" s="658">
        <f>G3-2</f>
        <v>-2</v>
      </c>
      <c r="J3" s="644" t="s">
        <v>873</v>
      </c>
      <c r="K3" s="643">
        <f>G3</f>
        <v>0</v>
      </c>
      <c r="L3" s="644" t="s">
        <v>872</v>
      </c>
      <c r="M3" s="643">
        <f>G3</f>
        <v>0</v>
      </c>
      <c r="N3" s="644" t="s">
        <v>872</v>
      </c>
    </row>
    <row r="4" spans="1:14" ht="18.75" x14ac:dyDescent="0.3">
      <c r="A4" s="884">
        <v>4</v>
      </c>
      <c r="B4" s="623" t="s">
        <v>202</v>
      </c>
      <c r="C4" s="624"/>
      <c r="D4" s="625"/>
      <c r="E4" s="626"/>
      <c r="F4" s="627"/>
      <c r="G4" s="699"/>
      <c r="H4" s="706" t="s">
        <v>899</v>
      </c>
      <c r="I4" s="706" t="s">
        <v>899</v>
      </c>
      <c r="J4" s="659"/>
      <c r="K4" s="2010" t="s">
        <v>899</v>
      </c>
      <c r="L4" s="2011" t="s">
        <v>899</v>
      </c>
      <c r="M4" s="2010" t="s">
        <v>899</v>
      </c>
      <c r="N4" s="2011" t="s">
        <v>899</v>
      </c>
    </row>
    <row r="5" spans="1:14" x14ac:dyDescent="0.25">
      <c r="A5" s="884">
        <v>5</v>
      </c>
      <c r="B5" s="663"/>
      <c r="C5" s="664" t="s">
        <v>203</v>
      </c>
      <c r="D5" s="628" t="s">
        <v>204</v>
      </c>
      <c r="E5" s="626" t="s">
        <v>205</v>
      </c>
      <c r="F5" s="629" t="s">
        <v>206</v>
      </c>
      <c r="G5" s="701" t="e">
        <f>'Balance Sheets'!G15/'Balance Sheets'!G47</f>
        <v>#DIV/0!</v>
      </c>
      <c r="H5" s="1959"/>
      <c r="I5" s="1959"/>
      <c r="J5" s="653" t="e">
        <f>AVERAGE(G5:I5)</f>
        <v>#DIV/0!</v>
      </c>
      <c r="K5" s="2006"/>
      <c r="L5" s="2007"/>
      <c r="M5" s="2006"/>
      <c r="N5" s="2007"/>
    </row>
    <row r="6" spans="1:14" x14ac:dyDescent="0.25">
      <c r="A6" s="884">
        <v>6</v>
      </c>
      <c r="B6" s="663"/>
      <c r="C6" s="664" t="s">
        <v>207</v>
      </c>
      <c r="D6" s="630"/>
      <c r="E6" s="631"/>
      <c r="F6" s="632"/>
      <c r="G6" s="700">
        <f>'Balance Sheets'!G15-'Balance Sheets'!G47</f>
        <v>0</v>
      </c>
      <c r="H6" s="1960"/>
      <c r="I6" s="1960"/>
      <c r="J6" s="654">
        <f t="shared" ref="J6:J29" si="0">AVERAGE(G6:I6)</f>
        <v>0</v>
      </c>
      <c r="K6" s="2012"/>
      <c r="L6" s="2013"/>
      <c r="M6" s="2012"/>
      <c r="N6" s="2013"/>
    </row>
    <row r="7" spans="1:14" x14ac:dyDescent="0.25">
      <c r="A7" s="884">
        <v>7</v>
      </c>
      <c r="B7" s="663"/>
      <c r="C7" s="664" t="s">
        <v>303</v>
      </c>
      <c r="D7" s="633" t="s">
        <v>304</v>
      </c>
      <c r="E7" s="634" t="s">
        <v>305</v>
      </c>
      <c r="F7" s="629" t="s">
        <v>306</v>
      </c>
      <c r="G7" s="646" t="e">
        <f>G6/'Income Statement'!G19</f>
        <v>#DIV/0!</v>
      </c>
      <c r="H7" s="1961"/>
      <c r="I7" s="1961"/>
      <c r="J7" s="647" t="e">
        <f t="shared" si="0"/>
        <v>#DIV/0!</v>
      </c>
      <c r="K7" s="1980"/>
      <c r="L7" s="1981"/>
      <c r="M7" s="1980"/>
      <c r="N7" s="1981"/>
    </row>
    <row r="8" spans="1:14" x14ac:dyDescent="0.25">
      <c r="A8" s="884">
        <v>8</v>
      </c>
      <c r="B8" s="665"/>
      <c r="C8" s="664" t="s">
        <v>837</v>
      </c>
      <c r="D8" s="633" t="s">
        <v>304</v>
      </c>
      <c r="E8" s="626" t="s">
        <v>772</v>
      </c>
      <c r="F8" s="629" t="s">
        <v>323</v>
      </c>
      <c r="G8" s="646" t="e">
        <f>G6/('Income Statement'!G72)</f>
        <v>#DIV/0!</v>
      </c>
      <c r="H8" s="1961"/>
      <c r="I8" s="1961"/>
      <c r="J8" s="647" t="e">
        <f t="shared" si="0"/>
        <v>#DIV/0!</v>
      </c>
      <c r="K8" s="1980"/>
      <c r="L8" s="1981"/>
      <c r="M8" s="1980"/>
      <c r="N8" s="1981"/>
    </row>
    <row r="9" spans="1:14" ht="18.75" x14ac:dyDescent="0.3">
      <c r="A9" s="884">
        <v>9</v>
      </c>
      <c r="B9" s="623" t="s">
        <v>208</v>
      </c>
      <c r="C9" s="624"/>
      <c r="D9" s="628"/>
      <c r="E9" s="626"/>
      <c r="F9" s="629"/>
      <c r="G9" s="701"/>
      <c r="H9" s="702"/>
      <c r="I9" s="660"/>
      <c r="J9" s="645"/>
      <c r="K9" s="648"/>
      <c r="L9" s="649"/>
      <c r="M9" s="648"/>
      <c r="N9" s="649"/>
    </row>
    <row r="10" spans="1:14" x14ac:dyDescent="0.25">
      <c r="A10" s="884">
        <v>10</v>
      </c>
      <c r="B10" s="663"/>
      <c r="C10" s="664" t="s">
        <v>665</v>
      </c>
      <c r="D10" s="628" t="s">
        <v>210</v>
      </c>
      <c r="E10" s="626" t="s">
        <v>211</v>
      </c>
      <c r="F10" s="629" t="s">
        <v>212</v>
      </c>
      <c r="G10" s="650" t="e">
        <f>'Balance Sheets'!H64/'Balance Sheets'!H63</f>
        <v>#DIV/0!</v>
      </c>
      <c r="H10" s="1962"/>
      <c r="I10" s="1962"/>
      <c r="J10" s="661" t="e">
        <f t="shared" si="0"/>
        <v>#DIV/0!</v>
      </c>
      <c r="K10" s="1980"/>
      <c r="L10" s="1981"/>
      <c r="M10" s="1980"/>
      <c r="N10" s="1981"/>
    </row>
    <row r="11" spans="1:14" x14ac:dyDescent="0.25">
      <c r="A11" s="884">
        <v>11</v>
      </c>
      <c r="B11" s="663"/>
      <c r="C11" s="664" t="s">
        <v>666</v>
      </c>
      <c r="D11" s="628" t="s">
        <v>213</v>
      </c>
      <c r="E11" s="626" t="s">
        <v>214</v>
      </c>
      <c r="F11" s="629" t="s">
        <v>215</v>
      </c>
      <c r="G11" s="650" t="e">
        <f>'Balance Sheets'!H65/'Balance Sheets'!H63</f>
        <v>#DIV/0!</v>
      </c>
      <c r="H11" s="1962"/>
      <c r="I11" s="1962"/>
      <c r="J11" s="661" t="e">
        <f t="shared" si="0"/>
        <v>#DIV/0!</v>
      </c>
      <c r="K11" s="1980"/>
      <c r="L11" s="1981"/>
      <c r="M11" s="1980"/>
      <c r="N11" s="1981"/>
    </row>
    <row r="12" spans="1:14" x14ac:dyDescent="0.25">
      <c r="A12" s="884">
        <v>12</v>
      </c>
      <c r="B12" s="663"/>
      <c r="C12" s="664" t="s">
        <v>667</v>
      </c>
      <c r="D12" s="628" t="s">
        <v>216</v>
      </c>
      <c r="E12" s="626" t="s">
        <v>217</v>
      </c>
      <c r="F12" s="629" t="s">
        <v>218</v>
      </c>
      <c r="G12" s="703" t="e">
        <f>'Balance Sheets'!H64/'Balance Sheets'!H65</f>
        <v>#DIV/0!</v>
      </c>
      <c r="H12" s="1963"/>
      <c r="I12" s="1963"/>
      <c r="J12" s="645" t="e">
        <f t="shared" si="0"/>
        <v>#DIV/0!</v>
      </c>
      <c r="K12" s="2008"/>
      <c r="L12" s="2009"/>
      <c r="M12" s="2008"/>
      <c r="N12" s="2009"/>
    </row>
    <row r="13" spans="1:14" ht="19.149999999999999" customHeight="1" x14ac:dyDescent="0.3">
      <c r="A13" s="884">
        <v>13</v>
      </c>
      <c r="B13" s="666" t="s">
        <v>309</v>
      </c>
      <c r="C13" s="664"/>
      <c r="D13" s="628"/>
      <c r="E13" s="626"/>
      <c r="F13" s="629"/>
      <c r="G13" s="701"/>
      <c r="H13" s="662"/>
      <c r="I13" s="660"/>
      <c r="J13" s="645"/>
      <c r="K13" s="648"/>
      <c r="L13" s="649"/>
      <c r="M13" s="648"/>
      <c r="N13" s="649"/>
    </row>
    <row r="14" spans="1:14" ht="18" x14ac:dyDescent="0.25">
      <c r="A14" s="884">
        <v>14</v>
      </c>
      <c r="B14" s="663"/>
      <c r="C14" s="664" t="s">
        <v>312</v>
      </c>
      <c r="D14" s="628" t="s">
        <v>313</v>
      </c>
      <c r="E14" s="626" t="s">
        <v>314</v>
      </c>
      <c r="F14" s="629" t="s">
        <v>315</v>
      </c>
      <c r="G14" s="646" t="e">
        <f>(G36-'Input Sheet'!C71)/'Balance Sheets'!H63</f>
        <v>#DIV/0!</v>
      </c>
      <c r="H14" s="1964"/>
      <c r="I14" s="1964"/>
      <c r="J14" s="647" t="e">
        <f t="shared" si="0"/>
        <v>#DIV/0!</v>
      </c>
      <c r="K14" s="1980"/>
      <c r="L14" s="1981"/>
      <c r="M14" s="1980"/>
      <c r="N14" s="1981"/>
    </row>
    <row r="15" spans="1:14" ht="18" x14ac:dyDescent="0.25">
      <c r="A15" s="884">
        <v>15</v>
      </c>
      <c r="B15" s="663"/>
      <c r="C15" s="664" t="s">
        <v>316</v>
      </c>
      <c r="D15" s="628" t="s">
        <v>317</v>
      </c>
      <c r="E15" s="626" t="s">
        <v>318</v>
      </c>
      <c r="F15" s="629" t="s">
        <v>319</v>
      </c>
      <c r="G15" s="646" t="e">
        <f>(G36-'Income Statement'!G71-'Input Sheet'!C71)/'Balance Sheets'!H65</f>
        <v>#DIV/0!</v>
      </c>
      <c r="H15" s="1964"/>
      <c r="I15" s="1964"/>
      <c r="J15" s="647" t="e">
        <f t="shared" si="0"/>
        <v>#DIV/0!</v>
      </c>
      <c r="K15" s="1980"/>
      <c r="L15" s="1981"/>
      <c r="M15" s="1980"/>
      <c r="N15" s="1981"/>
    </row>
    <row r="16" spans="1:14" ht="18" x14ac:dyDescent="0.25">
      <c r="A16" s="884">
        <v>16</v>
      </c>
      <c r="B16" s="663"/>
      <c r="C16" s="664" t="s">
        <v>320</v>
      </c>
      <c r="D16" s="628" t="s">
        <v>321</v>
      </c>
      <c r="E16" s="626" t="s">
        <v>322</v>
      </c>
      <c r="F16" s="629" t="s">
        <v>323</v>
      </c>
      <c r="G16" s="646" t="e">
        <f>(G36-'Input Sheet'!C71)/'Income Statement'!G19</f>
        <v>#DIV/0!</v>
      </c>
      <c r="H16" s="1964"/>
      <c r="I16" s="1964"/>
      <c r="J16" s="647" t="e">
        <f t="shared" si="0"/>
        <v>#DIV/0!</v>
      </c>
      <c r="K16" s="1980"/>
      <c r="L16" s="1981"/>
      <c r="M16" s="1980"/>
      <c r="N16" s="1981"/>
    </row>
    <row r="17" spans="1:14" x14ac:dyDescent="0.25">
      <c r="A17" s="884">
        <v>17</v>
      </c>
      <c r="B17" s="663"/>
      <c r="C17" s="664" t="s">
        <v>325</v>
      </c>
      <c r="D17" s="635"/>
      <c r="E17" s="635" t="s">
        <v>326</v>
      </c>
      <c r="F17" s="636"/>
      <c r="G17" s="701" t="e">
        <f t="shared" ref="G17:N17" si="1">IF(G15&gt;=G14,"Yes","No")</f>
        <v>#DIV/0!</v>
      </c>
      <c r="H17" s="662" t="str">
        <f t="shared" si="1"/>
        <v>Yes</v>
      </c>
      <c r="I17" s="662" t="str">
        <f t="shared" si="1"/>
        <v>Yes</v>
      </c>
      <c r="J17" s="645" t="e">
        <f t="shared" si="1"/>
        <v>#DIV/0!</v>
      </c>
      <c r="K17" s="652" t="str">
        <f t="shared" si="1"/>
        <v>Yes</v>
      </c>
      <c r="L17" s="653" t="str">
        <f t="shared" si="1"/>
        <v>Yes</v>
      </c>
      <c r="M17" s="652" t="str">
        <f t="shared" si="1"/>
        <v>Yes</v>
      </c>
      <c r="N17" s="653" t="str">
        <f t="shared" si="1"/>
        <v>Yes</v>
      </c>
    </row>
    <row r="18" spans="1:14" ht="18.75" x14ac:dyDescent="0.3">
      <c r="A18" s="884">
        <v>18</v>
      </c>
      <c r="B18" s="666" t="s">
        <v>327</v>
      </c>
      <c r="C18" s="664"/>
      <c r="D18" s="625"/>
      <c r="E18" s="626"/>
      <c r="F18" s="627"/>
      <c r="G18" s="701"/>
      <c r="H18" s="662"/>
      <c r="I18" s="660"/>
      <c r="J18" s="645"/>
      <c r="K18" s="648"/>
      <c r="L18" s="649"/>
      <c r="M18" s="648"/>
      <c r="N18" s="649"/>
    </row>
    <row r="19" spans="1:14" x14ac:dyDescent="0.25">
      <c r="A19" s="884">
        <v>19</v>
      </c>
      <c r="B19" s="663"/>
      <c r="C19" s="664" t="s">
        <v>936</v>
      </c>
      <c r="D19" s="630"/>
      <c r="E19" s="631"/>
      <c r="F19" s="632"/>
      <c r="G19" s="704" t="e">
        <f>'Repayment &amp; Replacement'!D31</f>
        <v>#DIV/0!</v>
      </c>
      <c r="H19" s="1965"/>
      <c r="I19" s="1965"/>
      <c r="J19" s="705" t="e">
        <f t="shared" si="0"/>
        <v>#DIV/0!</v>
      </c>
      <c r="K19" s="2004"/>
      <c r="L19" s="2005"/>
      <c r="M19" s="2004"/>
      <c r="N19" s="2005"/>
    </row>
    <row r="20" spans="1:14" x14ac:dyDescent="0.25">
      <c r="A20" s="884">
        <v>20</v>
      </c>
      <c r="B20" s="663"/>
      <c r="C20" s="664" t="s">
        <v>328</v>
      </c>
      <c r="D20" s="628" t="s">
        <v>329</v>
      </c>
      <c r="E20" s="626" t="s">
        <v>330</v>
      </c>
      <c r="F20" s="629" t="s">
        <v>331</v>
      </c>
      <c r="G20" s="704" t="e">
        <f>'Repayment &amp; Replacement'!D32</f>
        <v>#DIV/0!</v>
      </c>
      <c r="H20" s="1959"/>
      <c r="I20" s="1959"/>
      <c r="J20" s="653" t="e">
        <f t="shared" si="0"/>
        <v>#DIV/0!</v>
      </c>
      <c r="K20" s="2006"/>
      <c r="L20" s="2007"/>
      <c r="M20" s="2006"/>
      <c r="N20" s="2007"/>
    </row>
    <row r="21" spans="1:14" x14ac:dyDescent="0.25">
      <c r="A21" s="884">
        <v>21</v>
      </c>
      <c r="B21" s="663"/>
      <c r="C21" s="664" t="s">
        <v>937</v>
      </c>
      <c r="D21" s="628" t="s">
        <v>332</v>
      </c>
      <c r="E21" s="626" t="s">
        <v>333</v>
      </c>
      <c r="F21" s="629" t="s">
        <v>334</v>
      </c>
      <c r="G21" s="704" t="e">
        <f>'Repayment &amp; Replacement'!D33</f>
        <v>#DIV/0!</v>
      </c>
      <c r="H21" s="1959"/>
      <c r="I21" s="1959"/>
      <c r="J21" s="653" t="e">
        <f t="shared" si="0"/>
        <v>#DIV/0!</v>
      </c>
      <c r="K21" s="2006"/>
      <c r="L21" s="2007"/>
      <c r="M21" s="2006"/>
      <c r="N21" s="2007"/>
    </row>
    <row r="22" spans="1:14" ht="18.75" x14ac:dyDescent="0.3">
      <c r="A22" s="884">
        <v>22</v>
      </c>
      <c r="B22" s="666" t="s">
        <v>335</v>
      </c>
      <c r="C22" s="664"/>
      <c r="D22" s="628"/>
      <c r="E22" s="626"/>
      <c r="F22" s="629"/>
      <c r="G22" s="701"/>
      <c r="H22" s="662"/>
      <c r="I22" s="660"/>
      <c r="J22" s="645"/>
      <c r="K22" s="648"/>
      <c r="L22" s="649"/>
      <c r="M22" s="648"/>
      <c r="N22" s="649"/>
    </row>
    <row r="23" spans="1:14" ht="18" x14ac:dyDescent="0.25">
      <c r="A23" s="884">
        <v>23</v>
      </c>
      <c r="B23" s="663"/>
      <c r="C23" s="664" t="s">
        <v>1125</v>
      </c>
      <c r="D23" s="628" t="s">
        <v>212</v>
      </c>
      <c r="E23" s="626" t="s">
        <v>336</v>
      </c>
      <c r="F23" s="629" t="s">
        <v>337</v>
      </c>
      <c r="G23" s="650" t="e">
        <f>'Income Statement'!G19/'Balance Sheets'!H63</f>
        <v>#DIV/0!</v>
      </c>
      <c r="H23" s="1966"/>
      <c r="I23" s="1966"/>
      <c r="J23" s="651" t="e">
        <f t="shared" si="0"/>
        <v>#DIV/0!</v>
      </c>
      <c r="K23" s="1977"/>
      <c r="L23" s="1978"/>
      <c r="M23" s="1977"/>
      <c r="N23" s="1978"/>
    </row>
    <row r="24" spans="1:14" x14ac:dyDescent="0.25">
      <c r="A24" s="884">
        <v>24</v>
      </c>
      <c r="B24" s="663"/>
      <c r="C24" s="664" t="s">
        <v>494</v>
      </c>
      <c r="D24" s="628" t="s">
        <v>496</v>
      </c>
      <c r="E24" s="626" t="s">
        <v>497</v>
      </c>
      <c r="F24" s="629" t="s">
        <v>495</v>
      </c>
      <c r="G24" s="696" t="e">
        <f>1/G23</f>
        <v>#DIV/0!</v>
      </c>
      <c r="H24" s="1967"/>
      <c r="I24" s="1968"/>
      <c r="J24" s="645" t="e">
        <f t="shared" si="0"/>
        <v>#DIV/0!</v>
      </c>
      <c r="K24" s="1998"/>
      <c r="L24" s="1999"/>
      <c r="M24" s="1998"/>
      <c r="N24" s="1999"/>
    </row>
    <row r="25" spans="1:14" ht="29.1" customHeight="1" x14ac:dyDescent="0.25">
      <c r="A25" s="884">
        <v>25</v>
      </c>
      <c r="B25" s="663"/>
      <c r="C25" s="668" t="s">
        <v>918</v>
      </c>
      <c r="D25" s="637" t="s">
        <v>901</v>
      </c>
      <c r="E25" s="638" t="s">
        <v>902</v>
      </c>
      <c r="F25" s="639" t="s">
        <v>903</v>
      </c>
      <c r="G25" s="1284" t="e">
        <f>'Income Statement'!G72/'Income Statement'!G19</f>
        <v>#DIV/0!</v>
      </c>
      <c r="H25" s="1969"/>
      <c r="I25" s="1969"/>
      <c r="J25" s="655" t="e">
        <f t="shared" si="0"/>
        <v>#DIV/0!</v>
      </c>
      <c r="K25" s="2000"/>
      <c r="L25" s="2001"/>
      <c r="M25" s="2000"/>
      <c r="N25" s="2001"/>
    </row>
    <row r="26" spans="1:14" x14ac:dyDescent="0.25">
      <c r="A26" s="884">
        <v>26</v>
      </c>
      <c r="B26" s="663"/>
      <c r="C26" s="664" t="s">
        <v>338</v>
      </c>
      <c r="D26" s="628" t="s">
        <v>319</v>
      </c>
      <c r="E26" s="626" t="s">
        <v>339</v>
      </c>
      <c r="F26" s="629" t="s">
        <v>340</v>
      </c>
      <c r="G26" s="650" t="e">
        <f>'Income Statement'!G49/'Income Statement'!G19</f>
        <v>#DIV/0!</v>
      </c>
      <c r="H26" s="1964"/>
      <c r="I26" s="1964"/>
      <c r="J26" s="647" t="e">
        <f t="shared" si="0"/>
        <v>#DIV/0!</v>
      </c>
      <c r="K26" s="1980"/>
      <c r="L26" s="1981"/>
      <c r="M26" s="1980"/>
      <c r="N26" s="1981"/>
    </row>
    <row r="27" spans="1:14" x14ac:dyDescent="0.25">
      <c r="A27" s="884">
        <v>27</v>
      </c>
      <c r="B27" s="663"/>
      <c r="C27" s="664" t="s">
        <v>341</v>
      </c>
      <c r="D27" s="628" t="s">
        <v>319</v>
      </c>
      <c r="E27" s="626" t="s">
        <v>339</v>
      </c>
      <c r="F27" s="629" t="s">
        <v>340</v>
      </c>
      <c r="G27" s="650" t="e">
        <f>'Income Statement'!G71/'Income Statement'!G19</f>
        <v>#DIV/0!</v>
      </c>
      <c r="H27" s="1964"/>
      <c r="I27" s="1964"/>
      <c r="J27" s="647" t="e">
        <f t="shared" si="0"/>
        <v>#DIV/0!</v>
      </c>
      <c r="K27" s="1980"/>
      <c r="L27" s="1981"/>
      <c r="M27" s="1980"/>
      <c r="N27" s="1981"/>
    </row>
    <row r="28" spans="1:14" x14ac:dyDescent="0.25">
      <c r="A28" s="884">
        <v>28</v>
      </c>
      <c r="B28" s="663"/>
      <c r="C28" s="664" t="s">
        <v>838</v>
      </c>
      <c r="D28" s="628" t="s">
        <v>304</v>
      </c>
      <c r="E28" s="626" t="s">
        <v>342</v>
      </c>
      <c r="F28" s="629" t="s">
        <v>343</v>
      </c>
      <c r="G28" s="650" t="e">
        <f>('Income Statement'!G54-'Income Statement'!G71)/'Income Statement'!G19</f>
        <v>#DIV/0!</v>
      </c>
      <c r="H28" s="1964"/>
      <c r="I28" s="1964"/>
      <c r="J28" s="647" t="e">
        <f t="shared" si="0"/>
        <v>#DIV/0!</v>
      </c>
      <c r="K28" s="1980"/>
      <c r="L28" s="1981"/>
      <c r="M28" s="1980"/>
      <c r="N28" s="1981"/>
    </row>
    <row r="29" spans="1:14" ht="16.5" thickBot="1" x14ac:dyDescent="0.3">
      <c r="A29" s="884">
        <v>29</v>
      </c>
      <c r="B29" s="669"/>
      <c r="C29" s="670" t="s">
        <v>651</v>
      </c>
      <c r="D29" s="640"/>
      <c r="E29" s="641"/>
      <c r="F29" s="642"/>
      <c r="G29" s="656" t="e">
        <f>('Income Statement'!G72+'Input Sheet'!C71)/'Income Statement'!G19</f>
        <v>#DIV/0!</v>
      </c>
      <c r="H29" s="1970"/>
      <c r="I29" s="1970"/>
      <c r="J29" s="657" t="e">
        <f t="shared" si="0"/>
        <v>#DIV/0!</v>
      </c>
      <c r="K29" s="2002"/>
      <c r="L29" s="2003"/>
      <c r="M29" s="2002"/>
      <c r="N29" s="2003"/>
    </row>
    <row r="30" spans="1:14" s="1011" customFormat="1" ht="4.5" customHeight="1" thickBot="1" x14ac:dyDescent="0.3">
      <c r="A30" s="884">
        <v>30</v>
      </c>
      <c r="B30" s="1012"/>
      <c r="C30" s="1013"/>
      <c r="D30" s="1014"/>
      <c r="E30" s="1015"/>
      <c r="F30" s="1014"/>
      <c r="G30" s="1016"/>
      <c r="H30" s="1016"/>
      <c r="I30" s="1016"/>
      <c r="J30" s="1016"/>
      <c r="K30" s="1016"/>
      <c r="L30" s="1016"/>
      <c r="M30" s="1016"/>
      <c r="N30" s="1017"/>
    </row>
    <row r="31" spans="1:14" ht="24" customHeight="1" x14ac:dyDescent="0.25">
      <c r="A31" s="884">
        <v>31</v>
      </c>
      <c r="B31" s="1696" t="s">
        <v>938</v>
      </c>
      <c r="C31" s="1697"/>
      <c r="D31" s="1697"/>
      <c r="E31" s="1697"/>
      <c r="F31" s="1698"/>
      <c r="G31" s="1714">
        <f>'Input Sheet'!C4</f>
        <v>0</v>
      </c>
      <c r="H31" s="1715"/>
      <c r="I31" s="1715"/>
      <c r="J31" s="1716"/>
      <c r="K31" s="1705" t="s">
        <v>940</v>
      </c>
      <c r="L31" s="1706"/>
      <c r="M31" s="1706"/>
      <c r="N31" s="1707"/>
    </row>
    <row r="32" spans="1:14" ht="15.6" customHeight="1" x14ac:dyDescent="0.25">
      <c r="A32" s="884">
        <v>32</v>
      </c>
      <c r="B32" s="1699"/>
      <c r="C32" s="1700"/>
      <c r="D32" s="1700"/>
      <c r="E32" s="1700"/>
      <c r="F32" s="1701"/>
      <c r="G32" s="1708" t="s">
        <v>939</v>
      </c>
      <c r="H32" s="1709"/>
      <c r="I32" s="1709"/>
      <c r="J32" s="1710"/>
      <c r="K32" s="1711" t="s">
        <v>874</v>
      </c>
      <c r="L32" s="1712"/>
      <c r="M32" s="1713" t="s">
        <v>875</v>
      </c>
      <c r="N32" s="1712"/>
    </row>
    <row r="33" spans="1:14" ht="15.6" customHeight="1" x14ac:dyDescent="0.25">
      <c r="A33" s="884">
        <v>33</v>
      </c>
      <c r="B33" s="1702"/>
      <c r="C33" s="1703"/>
      <c r="D33" s="1703"/>
      <c r="E33" s="1703"/>
      <c r="F33" s="1704"/>
      <c r="G33" s="1287">
        <f>G3</f>
        <v>0</v>
      </c>
      <c r="H33" s="1288">
        <f t="shared" ref="H33:J33" si="2">H3</f>
        <v>-1</v>
      </c>
      <c r="I33" s="1288">
        <f t="shared" si="2"/>
        <v>-2</v>
      </c>
      <c r="J33" s="1289" t="str">
        <f t="shared" si="2"/>
        <v>3-Year Avg</v>
      </c>
      <c r="K33" s="1008">
        <f>K3</f>
        <v>0</v>
      </c>
      <c r="L33" s="1009" t="str">
        <f t="shared" ref="L33:N33" si="3">L3</f>
        <v>3-Yr Avg</v>
      </c>
      <c r="M33" s="1010">
        <f t="shared" si="3"/>
        <v>0</v>
      </c>
      <c r="N33" s="1009" t="str">
        <f t="shared" si="3"/>
        <v>3-Yr Avg</v>
      </c>
    </row>
    <row r="34" spans="1:14" ht="15.6" customHeight="1" x14ac:dyDescent="0.25">
      <c r="A34" s="884">
        <v>34</v>
      </c>
      <c r="B34" s="1020" t="s">
        <v>972</v>
      </c>
      <c r="C34" s="1018"/>
      <c r="D34" s="1018"/>
      <c r="E34" s="1018"/>
      <c r="F34" s="1019"/>
      <c r="G34" s="1287"/>
      <c r="H34" s="1288"/>
      <c r="I34" s="1288"/>
      <c r="J34" s="1289"/>
      <c r="K34" s="1008"/>
      <c r="L34" s="1009"/>
      <c r="M34" s="1010"/>
      <c r="N34" s="1009"/>
    </row>
    <row r="35" spans="1:14" ht="15.6" customHeight="1" x14ac:dyDescent="0.35">
      <c r="A35" s="884">
        <v>35</v>
      </c>
      <c r="B35" s="691"/>
      <c r="C35" s="664" t="s">
        <v>324</v>
      </c>
      <c r="D35" s="692"/>
      <c r="E35" s="693"/>
      <c r="F35" s="694"/>
      <c r="G35" s="700">
        <f>'Income Statement'!G74</f>
        <v>0</v>
      </c>
      <c r="H35" s="1971"/>
      <c r="I35" s="1972"/>
      <c r="J35" s="707">
        <f t="shared" ref="J35:J39" si="4">AVERAGE(G35:I35)</f>
        <v>0</v>
      </c>
      <c r="K35" s="1995"/>
      <c r="L35" s="1996"/>
      <c r="M35" s="1997"/>
      <c r="N35" s="1996"/>
    </row>
    <row r="36" spans="1:14" ht="15.6" customHeight="1" x14ac:dyDescent="0.35">
      <c r="A36" s="884">
        <v>36</v>
      </c>
      <c r="B36" s="691"/>
      <c r="C36" s="664" t="s">
        <v>906</v>
      </c>
      <c r="D36" s="692"/>
      <c r="E36" s="693"/>
      <c r="F36" s="695"/>
      <c r="G36" s="700">
        <f>'Income Statement'!G54</f>
        <v>0</v>
      </c>
      <c r="H36" s="1972"/>
      <c r="I36" s="1972"/>
      <c r="J36" s="707">
        <f t="shared" si="4"/>
        <v>0</v>
      </c>
      <c r="K36" s="1995"/>
      <c r="L36" s="1996"/>
      <c r="M36" s="1997"/>
      <c r="N36" s="1996"/>
    </row>
    <row r="37" spans="1:14" ht="15.6" customHeight="1" x14ac:dyDescent="0.35">
      <c r="A37" s="884">
        <v>37</v>
      </c>
      <c r="B37" s="691"/>
      <c r="C37" s="667" t="s">
        <v>907</v>
      </c>
      <c r="D37" s="692"/>
      <c r="E37" s="693"/>
      <c r="F37" s="695"/>
      <c r="G37" s="700">
        <f>'Income Statement'!G73</f>
        <v>0</v>
      </c>
      <c r="H37" s="1972"/>
      <c r="I37" s="1972"/>
      <c r="J37" s="707">
        <f t="shared" si="4"/>
        <v>0</v>
      </c>
      <c r="K37" s="1995"/>
      <c r="L37" s="1996"/>
      <c r="M37" s="1997"/>
      <c r="N37" s="1996"/>
    </row>
    <row r="38" spans="1:14" ht="15.6" customHeight="1" x14ac:dyDescent="0.35">
      <c r="A38" s="884">
        <v>38</v>
      </c>
      <c r="B38" s="691"/>
      <c r="C38" s="664" t="s">
        <v>311</v>
      </c>
      <c r="D38" s="693"/>
      <c r="E38" s="693"/>
      <c r="F38" s="694"/>
      <c r="G38" s="700">
        <f>'Income Statement'!G62</f>
        <v>0</v>
      </c>
      <c r="H38" s="1972"/>
      <c r="I38" s="1972"/>
      <c r="J38" s="707">
        <f t="shared" si="4"/>
        <v>0</v>
      </c>
      <c r="K38" s="1995"/>
      <c r="L38" s="1996"/>
      <c r="M38" s="1997"/>
      <c r="N38" s="1996"/>
    </row>
    <row r="39" spans="1:14" ht="15.6" customHeight="1" x14ac:dyDescent="0.35">
      <c r="A39" s="884">
        <v>39</v>
      </c>
      <c r="B39" s="691"/>
      <c r="C39" s="664" t="s">
        <v>520</v>
      </c>
      <c r="D39" s="693"/>
      <c r="E39" s="693"/>
      <c r="F39" s="694"/>
      <c r="G39" s="700">
        <f>'Income Statement'!G67</f>
        <v>0</v>
      </c>
      <c r="H39" s="1972"/>
      <c r="I39" s="1972"/>
      <c r="J39" s="707">
        <f t="shared" si="4"/>
        <v>0</v>
      </c>
      <c r="K39" s="1995"/>
      <c r="L39" s="1996"/>
      <c r="M39" s="1997"/>
      <c r="N39" s="1996"/>
    </row>
    <row r="40" spans="1:14" ht="18.75" x14ac:dyDescent="0.3">
      <c r="A40" s="884">
        <v>40</v>
      </c>
      <c r="B40" s="1021" t="s">
        <v>898</v>
      </c>
      <c r="C40" s="711"/>
      <c r="D40" s="692"/>
      <c r="E40" s="693"/>
      <c r="F40" s="695"/>
      <c r="G40" s="718"/>
      <c r="H40" s="672"/>
      <c r="I40" s="672"/>
      <c r="J40" s="673"/>
      <c r="K40" s="677"/>
      <c r="L40" s="678"/>
      <c r="M40" s="676"/>
      <c r="N40" s="678"/>
    </row>
    <row r="41" spans="1:14" ht="18" x14ac:dyDescent="0.25">
      <c r="A41" s="884">
        <v>41</v>
      </c>
      <c r="B41" s="671"/>
      <c r="C41" s="712" t="s">
        <v>900</v>
      </c>
      <c r="D41" s="628" t="s">
        <v>964</v>
      </c>
      <c r="E41" s="626" t="s">
        <v>965</v>
      </c>
      <c r="F41" s="629" t="s">
        <v>966</v>
      </c>
      <c r="G41" s="650" t="e">
        <f>('Income Statement'!G72-'Income Statement'!G22)/'Income Statement'!G19</f>
        <v>#DIV/0!</v>
      </c>
      <c r="H41" s="1966"/>
      <c r="I41" s="1966"/>
      <c r="J41" s="674" t="e">
        <f t="shared" ref="J41:J58" si="5">AVERAGE(G41:I41)</f>
        <v>#DIV/0!</v>
      </c>
      <c r="K41" s="1977"/>
      <c r="L41" s="1978"/>
      <c r="M41" s="1979"/>
      <c r="N41" s="1978"/>
    </row>
    <row r="42" spans="1:14" x14ac:dyDescent="0.25">
      <c r="A42" s="884">
        <v>42</v>
      </c>
      <c r="B42" s="671"/>
      <c r="C42" s="712" t="s">
        <v>338</v>
      </c>
      <c r="D42" s="628" t="s">
        <v>967</v>
      </c>
      <c r="E42" s="626" t="s">
        <v>339</v>
      </c>
      <c r="F42" s="629" t="s">
        <v>911</v>
      </c>
      <c r="G42" s="650" t="e">
        <f>'Income Statement'!G49/'Income Statement'!G19</f>
        <v>#DIV/0!</v>
      </c>
      <c r="H42" s="1966"/>
      <c r="I42" s="1966"/>
      <c r="J42" s="674" t="e">
        <f t="shared" si="5"/>
        <v>#DIV/0!</v>
      </c>
      <c r="K42" s="1977"/>
      <c r="L42" s="1978"/>
      <c r="M42" s="1979"/>
      <c r="N42" s="1978"/>
    </row>
    <row r="43" spans="1:14" x14ac:dyDescent="0.25">
      <c r="A43" s="884">
        <v>43</v>
      </c>
      <c r="B43" s="671"/>
      <c r="C43" s="712" t="s">
        <v>341</v>
      </c>
      <c r="D43" s="628" t="s">
        <v>967</v>
      </c>
      <c r="E43" s="626" t="s">
        <v>339</v>
      </c>
      <c r="F43" s="629" t="s">
        <v>911</v>
      </c>
      <c r="G43" s="650" t="e">
        <f>'Income Statement'!G71/'Income Statement'!G19</f>
        <v>#DIV/0!</v>
      </c>
      <c r="H43" s="1966"/>
      <c r="I43" s="1966"/>
      <c r="J43" s="674" t="e">
        <f t="shared" si="5"/>
        <v>#DIV/0!</v>
      </c>
      <c r="K43" s="1977"/>
      <c r="L43" s="1978"/>
      <c r="M43" s="1979"/>
      <c r="N43" s="1978"/>
    </row>
    <row r="44" spans="1:14" ht="18" x14ac:dyDescent="0.25">
      <c r="A44" s="884">
        <v>44</v>
      </c>
      <c r="B44" s="671"/>
      <c r="C44" s="712" t="s">
        <v>1094</v>
      </c>
      <c r="D44" s="628" t="s">
        <v>968</v>
      </c>
      <c r="E44" s="626" t="s">
        <v>969</v>
      </c>
      <c r="F44" s="629" t="s">
        <v>970</v>
      </c>
      <c r="G44" s="650" t="e">
        <f>'Income Statement'!G22/'Income Statement'!G19</f>
        <v>#DIV/0!</v>
      </c>
      <c r="H44" s="1966"/>
      <c r="I44" s="1966"/>
      <c r="J44" s="674" t="e">
        <f t="shared" si="5"/>
        <v>#DIV/0!</v>
      </c>
      <c r="K44" s="1977"/>
      <c r="L44" s="1978"/>
      <c r="M44" s="1979"/>
      <c r="N44" s="1978"/>
    </row>
    <row r="45" spans="1:14" x14ac:dyDescent="0.25">
      <c r="A45" s="884">
        <v>45</v>
      </c>
      <c r="B45" s="671"/>
      <c r="C45" s="712" t="s">
        <v>838</v>
      </c>
      <c r="D45" s="628" t="s">
        <v>910</v>
      </c>
      <c r="E45" s="626" t="s">
        <v>342</v>
      </c>
      <c r="F45" s="629" t="s">
        <v>971</v>
      </c>
      <c r="G45" s="650" t="e">
        <f>('Income Statement'!G54-'Income Statement'!G71)/'Income Statement'!G19</f>
        <v>#DIV/0!</v>
      </c>
      <c r="H45" s="1966"/>
      <c r="I45" s="1966"/>
      <c r="J45" s="674" t="e">
        <f t="shared" si="5"/>
        <v>#DIV/0!</v>
      </c>
      <c r="K45" s="1977"/>
      <c r="L45" s="1978"/>
      <c r="M45" s="1979"/>
      <c r="N45" s="1978"/>
    </row>
    <row r="46" spans="1:14" ht="18" x14ac:dyDescent="0.25">
      <c r="A46" s="884">
        <v>46</v>
      </c>
      <c r="B46" s="671"/>
      <c r="C46" s="664" t="s">
        <v>1089</v>
      </c>
      <c r="D46" s="628"/>
      <c r="E46" s="626"/>
      <c r="F46" s="629"/>
      <c r="G46" s="1285" t="e">
        <f>('Income Statement'!F22+'Input Sheet'!C71)/'Income Statement'!G19</f>
        <v>#DIV/0!</v>
      </c>
      <c r="H46" s="1966"/>
      <c r="I46" s="1966"/>
      <c r="J46" s="674" t="e">
        <f t="shared" si="5"/>
        <v>#DIV/0!</v>
      </c>
      <c r="K46" s="1977"/>
      <c r="L46" s="1978"/>
      <c r="M46" s="1979"/>
      <c r="N46" s="1978"/>
    </row>
    <row r="47" spans="1:14" ht="18.75" x14ac:dyDescent="0.3">
      <c r="A47" s="884">
        <v>47</v>
      </c>
      <c r="B47" s="1021" t="s">
        <v>1090</v>
      </c>
      <c r="C47" s="664"/>
      <c r="D47" s="628"/>
      <c r="E47" s="626"/>
      <c r="F47" s="629"/>
      <c r="G47" s="646"/>
      <c r="H47" s="1964"/>
      <c r="I47" s="1964"/>
      <c r="J47" s="647"/>
      <c r="K47" s="1980"/>
      <c r="L47" s="1981"/>
      <c r="M47" s="1982"/>
      <c r="N47" s="1981"/>
    </row>
    <row r="48" spans="1:14" x14ac:dyDescent="0.25">
      <c r="A48" s="884">
        <v>48</v>
      </c>
      <c r="B48" s="671"/>
      <c r="C48" s="713" t="s">
        <v>1091</v>
      </c>
      <c r="D48" s="628" t="s">
        <v>914</v>
      </c>
      <c r="E48" s="626" t="s">
        <v>771</v>
      </c>
      <c r="F48" s="629" t="s">
        <v>501</v>
      </c>
      <c r="G48" s="719" t="e">
        <f>('Balance Sheets'!I15-'Balance Sheets'!I47)/'Repayment &amp; Replacement'!D17</f>
        <v>#DIV/0!</v>
      </c>
      <c r="H48" s="1964"/>
      <c r="I48" s="1964"/>
      <c r="J48" s="709" t="e">
        <f t="shared" si="5"/>
        <v>#DIV/0!</v>
      </c>
      <c r="K48" s="1980"/>
      <c r="L48" s="1981"/>
      <c r="M48" s="1982"/>
      <c r="N48" s="1981"/>
    </row>
    <row r="49" spans="1:14" ht="39.75" x14ac:dyDescent="0.25">
      <c r="A49" s="884">
        <v>49</v>
      </c>
      <c r="B49" s="671"/>
      <c r="C49" s="714" t="s">
        <v>1092</v>
      </c>
      <c r="D49" s="715" t="s">
        <v>913</v>
      </c>
      <c r="E49" s="716" t="s">
        <v>430</v>
      </c>
      <c r="F49" s="717" t="s">
        <v>431</v>
      </c>
      <c r="G49" s="720" t="str">
        <f>IF('Ratio Analysis'!G37&lt;0,('Ratio Analysis'!G6/-'Ratio Analysis'!G37),"NA")</f>
        <v>NA</v>
      </c>
      <c r="H49" s="1973"/>
      <c r="I49" s="1973"/>
      <c r="J49" s="710" t="e">
        <f t="shared" si="5"/>
        <v>#DIV/0!</v>
      </c>
      <c r="K49" s="1983"/>
      <c r="L49" s="1984"/>
      <c r="M49" s="1985"/>
      <c r="N49" s="1984"/>
    </row>
    <row r="50" spans="1:14" ht="54.75" x14ac:dyDescent="0.25">
      <c r="A50" s="884">
        <v>50</v>
      </c>
      <c r="B50" s="671"/>
      <c r="C50" s="714" t="s">
        <v>1093</v>
      </c>
      <c r="D50" s="715" t="s">
        <v>912</v>
      </c>
      <c r="E50" s="716" t="s">
        <v>433</v>
      </c>
      <c r="F50" s="717" t="s">
        <v>434</v>
      </c>
      <c r="G50" s="721" t="e">
        <f>IF(G6&lt;0,0,G6/'Repayment &amp; Replacement'!D17)</f>
        <v>#DIV/0!</v>
      </c>
      <c r="H50" s="1973"/>
      <c r="I50" s="1973"/>
      <c r="J50" s="708" t="e">
        <f t="shared" si="5"/>
        <v>#DIV/0!</v>
      </c>
      <c r="K50" s="1983"/>
      <c r="L50" s="1984"/>
      <c r="M50" s="1985"/>
      <c r="N50" s="1984"/>
    </row>
    <row r="51" spans="1:14" x14ac:dyDescent="0.25">
      <c r="A51" s="884">
        <v>51</v>
      </c>
      <c r="B51" s="671"/>
      <c r="C51" s="713" t="s">
        <v>435</v>
      </c>
      <c r="D51" s="628" t="s">
        <v>911</v>
      </c>
      <c r="E51" s="626" t="s">
        <v>436</v>
      </c>
      <c r="F51" s="629" t="s">
        <v>437</v>
      </c>
      <c r="G51" s="646" t="e">
        <f>'Balance Sheets'!G7/'Balance Sheets'!G15</f>
        <v>#DIV/0!</v>
      </c>
      <c r="H51" s="1964"/>
      <c r="I51" s="1964"/>
      <c r="J51" s="675" t="e">
        <f t="shared" si="5"/>
        <v>#DIV/0!</v>
      </c>
      <c r="K51" s="1980"/>
      <c r="L51" s="1981"/>
      <c r="M51" s="1982"/>
      <c r="N51" s="1981"/>
    </row>
    <row r="52" spans="1:14" x14ac:dyDescent="0.25">
      <c r="A52" s="884">
        <v>52</v>
      </c>
      <c r="B52" s="671"/>
      <c r="C52" s="1267" t="s">
        <v>1097</v>
      </c>
      <c r="D52" s="628"/>
      <c r="E52" s="626"/>
      <c r="F52" s="629" t="s">
        <v>1098</v>
      </c>
      <c r="G52" s="704" t="e">
        <f>('Balance Sheets'!G7+'Balance Sheets'!G10+'Balance Sheets'!G11)/'Balance Sheets'!G47</f>
        <v>#DIV/0!</v>
      </c>
      <c r="H52" s="1964"/>
      <c r="I52" s="1964"/>
      <c r="J52" s="675"/>
      <c r="K52" s="1980"/>
      <c r="L52" s="1981"/>
      <c r="M52" s="1982"/>
      <c r="N52" s="1981"/>
    </row>
    <row r="53" spans="1:14" ht="17.25" x14ac:dyDescent="0.25">
      <c r="A53" s="884">
        <v>53</v>
      </c>
      <c r="B53" s="671"/>
      <c r="C53" s="713" t="s">
        <v>1096</v>
      </c>
      <c r="D53" s="628" t="s">
        <v>917</v>
      </c>
      <c r="E53" s="626" t="s">
        <v>1010</v>
      </c>
      <c r="F53" s="629" t="s">
        <v>1011</v>
      </c>
      <c r="G53" s="719" t="e">
        <f>'Balance Sheets'!F76/'Income Statement'!G74</f>
        <v>#DIV/0!</v>
      </c>
      <c r="H53" s="1964"/>
      <c r="I53" s="1964"/>
      <c r="J53" s="709" t="e">
        <f t="shared" si="5"/>
        <v>#DIV/0!</v>
      </c>
      <c r="K53" s="1980"/>
      <c r="L53" s="1981"/>
      <c r="M53" s="1982"/>
      <c r="N53" s="1981"/>
    </row>
    <row r="54" spans="1:14" x14ac:dyDescent="0.25">
      <c r="A54" s="884">
        <v>54</v>
      </c>
      <c r="B54" s="671"/>
      <c r="C54" s="713" t="s">
        <v>441</v>
      </c>
      <c r="D54" s="628" t="s">
        <v>910</v>
      </c>
      <c r="E54" s="626" t="s">
        <v>442</v>
      </c>
      <c r="F54" s="629" t="s">
        <v>323</v>
      </c>
      <c r="G54" s="650" t="e">
        <f>'Income Statement'!G74/'Income Statement'!G19</f>
        <v>#DIV/0!</v>
      </c>
      <c r="H54" s="1966"/>
      <c r="I54" s="1966"/>
      <c r="J54" s="674" t="e">
        <f t="shared" si="5"/>
        <v>#DIV/0!</v>
      </c>
      <c r="K54" s="1977"/>
      <c r="L54" s="1978"/>
      <c r="M54" s="1979"/>
      <c r="N54" s="1978"/>
    </row>
    <row r="55" spans="1:14" x14ac:dyDescent="0.25">
      <c r="A55" s="884">
        <v>55</v>
      </c>
      <c r="B55" s="1131"/>
      <c r="C55" s="1132" t="s">
        <v>611</v>
      </c>
      <c r="D55" s="1133" t="s">
        <v>909</v>
      </c>
      <c r="E55" s="1134" t="s">
        <v>443</v>
      </c>
      <c r="F55" s="1135" t="s">
        <v>321</v>
      </c>
      <c r="G55" s="1136" t="e">
        <f>('Input Sheet'!C64+'Input Sheet'!C70)/'Ratio Analysis'!G35</f>
        <v>#DIV/0!</v>
      </c>
      <c r="H55" s="1974"/>
      <c r="I55" s="1974"/>
      <c r="J55" s="1286" t="e">
        <f t="shared" si="5"/>
        <v>#DIV/0!</v>
      </c>
      <c r="K55" s="1986"/>
      <c r="L55" s="1987"/>
      <c r="M55" s="1988"/>
      <c r="N55" s="1987"/>
    </row>
    <row r="56" spans="1:14" ht="15.95" customHeight="1" x14ac:dyDescent="0.25">
      <c r="A56" s="884">
        <v>56</v>
      </c>
      <c r="B56" s="1131"/>
      <c r="C56" s="1378" t="s">
        <v>1095</v>
      </c>
      <c r="D56" s="1133" t="s">
        <v>917</v>
      </c>
      <c r="E56" s="1134" t="s">
        <v>915</v>
      </c>
      <c r="F56" s="1135" t="s">
        <v>916</v>
      </c>
      <c r="G56" s="1379" t="e">
        <f>'Balance Sheets'!G58/'Income Statement'!G74</f>
        <v>#DIV/0!</v>
      </c>
      <c r="H56" s="1974"/>
      <c r="I56" s="1974"/>
      <c r="J56" s="1380" t="e">
        <f t="shared" si="5"/>
        <v>#DIV/0!</v>
      </c>
      <c r="K56" s="1986"/>
      <c r="L56" s="1987"/>
      <c r="M56" s="1986"/>
      <c r="N56" s="1987"/>
    </row>
    <row r="57" spans="1:14" ht="15.95" customHeight="1" x14ac:dyDescent="0.25">
      <c r="A57" s="884">
        <v>57</v>
      </c>
      <c r="B57" s="1393"/>
      <c r="C57" s="1371" t="s">
        <v>1146</v>
      </c>
      <c r="D57" s="1381"/>
      <c r="E57" s="1382"/>
      <c r="F57" s="1385"/>
      <c r="G57" s="1387" t="e">
        <f>'Cost of Production Summary'!F11</f>
        <v>#VALUE!</v>
      </c>
      <c r="H57" s="1975"/>
      <c r="I57" s="1975"/>
      <c r="J57" s="1389" t="e">
        <f t="shared" si="5"/>
        <v>#VALUE!</v>
      </c>
      <c r="K57" s="1989"/>
      <c r="L57" s="1990"/>
      <c r="M57" s="1991"/>
      <c r="N57" s="1990"/>
    </row>
    <row r="58" spans="1:14" ht="15.95" customHeight="1" thickBot="1" x14ac:dyDescent="0.3">
      <c r="A58" s="884">
        <v>58</v>
      </c>
      <c r="B58" s="1394"/>
      <c r="C58" s="1395" t="s">
        <v>1158</v>
      </c>
      <c r="D58" s="1383"/>
      <c r="E58" s="1384"/>
      <c r="F58" s="1386"/>
      <c r="G58" s="1388" t="e">
        <f>'Cost of Production Summary'!G11</f>
        <v>#VALUE!</v>
      </c>
      <c r="H58" s="1976"/>
      <c r="I58" s="1976"/>
      <c r="J58" s="1390" t="e">
        <f t="shared" si="5"/>
        <v>#VALUE!</v>
      </c>
      <c r="K58" s="1992"/>
      <c r="L58" s="1993"/>
      <c r="M58" s="1994"/>
      <c r="N58" s="1993"/>
    </row>
    <row r="59" spans="1:14" x14ac:dyDescent="0.25">
      <c r="A59" s="435"/>
      <c r="B59" s="679"/>
      <c r="D59" s="211"/>
      <c r="E59" s="211"/>
      <c r="F59" s="211"/>
      <c r="G59" s="211"/>
      <c r="H59" s="413"/>
    </row>
    <row r="60" spans="1:14" ht="36" customHeight="1" x14ac:dyDescent="0.25">
      <c r="A60" s="680"/>
      <c r="B60" s="1359" t="s">
        <v>344</v>
      </c>
      <c r="C60" s="1680" t="s">
        <v>719</v>
      </c>
      <c r="D60" s="1680"/>
      <c r="E60" s="1680"/>
      <c r="F60" s="1680"/>
      <c r="G60" s="1681"/>
    </row>
    <row r="61" spans="1:14" ht="36.6" customHeight="1" x14ac:dyDescent="0.25">
      <c r="A61" s="680"/>
      <c r="B61" s="1349" t="s">
        <v>345</v>
      </c>
      <c r="C61" s="1682" t="s">
        <v>346</v>
      </c>
      <c r="D61" s="1682"/>
      <c r="E61" s="1682"/>
      <c r="F61" s="1682"/>
      <c r="G61" s="1683"/>
    </row>
    <row r="62" spans="1:14" ht="17.45" customHeight="1" x14ac:dyDescent="0.25">
      <c r="A62" s="680"/>
      <c r="B62" s="1350"/>
      <c r="C62" s="203"/>
      <c r="D62" s="1348" t="s">
        <v>199</v>
      </c>
      <c r="E62" s="1348" t="s">
        <v>200</v>
      </c>
      <c r="F62" s="1348" t="s">
        <v>201</v>
      </c>
      <c r="G62" s="1351"/>
    </row>
    <row r="63" spans="1:14" ht="18.600000000000001" customHeight="1" x14ac:dyDescent="0.25">
      <c r="A63" s="680"/>
      <c r="B63" s="1350"/>
      <c r="C63" s="1354" t="s">
        <v>372</v>
      </c>
      <c r="D63" s="1355" t="s">
        <v>340</v>
      </c>
      <c r="E63" s="1356" t="s">
        <v>734</v>
      </c>
      <c r="F63" s="1357" t="s">
        <v>373</v>
      </c>
      <c r="G63" s="1351"/>
    </row>
    <row r="64" spans="1:14" ht="18.600000000000001" customHeight="1" x14ac:dyDescent="0.25">
      <c r="A64" s="680"/>
      <c r="B64" s="1350"/>
      <c r="C64" s="1354" t="s">
        <v>374</v>
      </c>
      <c r="D64" s="1355" t="s">
        <v>313</v>
      </c>
      <c r="E64" s="1356" t="s">
        <v>314</v>
      </c>
      <c r="F64" s="1357" t="s">
        <v>315</v>
      </c>
      <c r="G64" s="1351"/>
    </row>
    <row r="65" spans="1:14" ht="18.600000000000001" customHeight="1" x14ac:dyDescent="0.25">
      <c r="A65" s="680"/>
      <c r="B65" s="1350"/>
      <c r="C65" s="1354" t="s">
        <v>376</v>
      </c>
      <c r="D65" s="1355" t="s">
        <v>375</v>
      </c>
      <c r="E65" s="1356" t="s">
        <v>733</v>
      </c>
      <c r="F65" s="1357" t="s">
        <v>377</v>
      </c>
      <c r="G65" s="1351"/>
    </row>
    <row r="66" spans="1:14" ht="18.600000000000001" customHeight="1" x14ac:dyDescent="0.25">
      <c r="A66" s="680"/>
      <c r="B66" s="1350"/>
      <c r="C66" s="1354" t="s">
        <v>378</v>
      </c>
      <c r="D66" s="1355" t="s">
        <v>379</v>
      </c>
      <c r="E66" s="1356" t="s">
        <v>380</v>
      </c>
      <c r="F66" s="1357" t="s">
        <v>308</v>
      </c>
      <c r="G66" s="1351"/>
    </row>
    <row r="67" spans="1:14" ht="18.600000000000001" customHeight="1" x14ac:dyDescent="0.25">
      <c r="A67" s="680"/>
      <c r="B67" s="1350"/>
      <c r="C67" s="1354" t="s">
        <v>381</v>
      </c>
      <c r="D67" s="1355" t="s">
        <v>212</v>
      </c>
      <c r="E67" s="1356" t="s">
        <v>336</v>
      </c>
      <c r="F67" s="1357" t="s">
        <v>337</v>
      </c>
      <c r="G67" s="1351"/>
    </row>
    <row r="68" spans="1:14" ht="18.600000000000001" customHeight="1" x14ac:dyDescent="0.25">
      <c r="A68" s="680"/>
      <c r="B68" s="1350"/>
      <c r="C68" s="1354" t="s">
        <v>382</v>
      </c>
      <c r="D68" s="1355" t="s">
        <v>307</v>
      </c>
      <c r="E68" s="1356" t="s">
        <v>383</v>
      </c>
      <c r="F68" s="1357" t="s">
        <v>384</v>
      </c>
      <c r="G68" s="1351"/>
    </row>
    <row r="69" spans="1:14" ht="24.6" customHeight="1" x14ac:dyDescent="0.25">
      <c r="A69" s="680"/>
      <c r="B69" s="1352"/>
      <c r="C69" s="1358" t="s">
        <v>700</v>
      </c>
      <c r="D69" s="919"/>
      <c r="E69" s="919"/>
      <c r="F69" s="919"/>
      <c r="G69" s="1353"/>
    </row>
    <row r="70" spans="1:14" ht="51" customHeight="1" x14ac:dyDescent="0.25">
      <c r="A70" s="680"/>
      <c r="B70" s="1359" t="s">
        <v>347</v>
      </c>
      <c r="C70" s="1680" t="s">
        <v>1159</v>
      </c>
      <c r="D70" s="1680"/>
      <c r="E70" s="1680"/>
      <c r="F70" s="1680"/>
      <c r="G70" s="1681"/>
    </row>
    <row r="71" spans="1:14" ht="39" customHeight="1" x14ac:dyDescent="0.25">
      <c r="A71" s="680"/>
      <c r="B71" s="1359" t="s">
        <v>348</v>
      </c>
      <c r="C71" s="1680" t="s">
        <v>1012</v>
      </c>
      <c r="D71" s="1680"/>
      <c r="E71" s="1680"/>
      <c r="F71" s="1680"/>
      <c r="G71" s="1681"/>
    </row>
    <row r="72" spans="1:14" s="263" customFormat="1" ht="60" customHeight="1" x14ac:dyDescent="0.25">
      <c r="A72" s="680"/>
      <c r="B72" s="1359" t="s">
        <v>349</v>
      </c>
      <c r="C72" s="1680" t="s">
        <v>904</v>
      </c>
      <c r="D72" s="1680"/>
      <c r="E72" s="1680"/>
      <c r="F72" s="1680"/>
      <c r="G72" s="1681"/>
      <c r="H72" s="609"/>
      <c r="I72" s="609"/>
      <c r="J72" s="609"/>
      <c r="K72" s="609"/>
      <c r="L72" s="609"/>
      <c r="M72" s="609"/>
      <c r="N72" s="609"/>
    </row>
    <row r="73" spans="1:14" ht="39" customHeight="1" x14ac:dyDescent="0.25">
      <c r="B73" s="1359" t="s">
        <v>1002</v>
      </c>
      <c r="C73" s="1680" t="s">
        <v>1003</v>
      </c>
      <c r="D73" s="1680"/>
      <c r="E73" s="1680"/>
      <c r="F73" s="1680"/>
      <c r="G73" s="1681"/>
    </row>
    <row r="74" spans="1:14" ht="65.099999999999994" customHeight="1" x14ac:dyDescent="0.25">
      <c r="B74" s="1349" t="s">
        <v>1031</v>
      </c>
      <c r="C74" s="1682" t="s">
        <v>663</v>
      </c>
      <c r="D74" s="1682"/>
      <c r="E74" s="1682"/>
      <c r="F74" s="1682"/>
      <c r="G74" s="1683"/>
    </row>
    <row r="75" spans="1:14" x14ac:dyDescent="0.25">
      <c r="B75" s="1364"/>
      <c r="C75" s="211"/>
      <c r="D75" s="1264" t="s">
        <v>444</v>
      </c>
      <c r="E75" s="1361" t="s">
        <v>445</v>
      </c>
      <c r="F75" s="1360"/>
      <c r="G75" s="1366"/>
    </row>
    <row r="76" spans="1:14" x14ac:dyDescent="0.25">
      <c r="B76" s="1364"/>
      <c r="C76" s="211"/>
      <c r="D76" s="1264" t="s">
        <v>1032</v>
      </c>
      <c r="E76" s="1361" t="s">
        <v>446</v>
      </c>
      <c r="F76" s="1360"/>
      <c r="G76" s="1366"/>
    </row>
    <row r="77" spans="1:14" x14ac:dyDescent="0.25">
      <c r="B77" s="1364"/>
      <c r="C77" s="211"/>
      <c r="D77" s="1264" t="s">
        <v>149</v>
      </c>
      <c r="E77" s="1361" t="s">
        <v>447</v>
      </c>
      <c r="F77" s="1360"/>
      <c r="G77" s="1366"/>
    </row>
    <row r="78" spans="1:14" x14ac:dyDescent="0.25">
      <c r="B78" s="1364"/>
      <c r="C78" s="211"/>
      <c r="D78" s="1264" t="s">
        <v>448</v>
      </c>
      <c r="E78" s="1361" t="s">
        <v>449</v>
      </c>
      <c r="F78" s="1360"/>
      <c r="G78" s="1366"/>
    </row>
    <row r="79" spans="1:14" x14ac:dyDescent="0.25">
      <c r="B79" s="1364"/>
      <c r="C79" s="211"/>
      <c r="D79" s="1264" t="s">
        <v>450</v>
      </c>
      <c r="E79" s="1361" t="s">
        <v>451</v>
      </c>
      <c r="F79" s="1360"/>
      <c r="G79" s="1366"/>
    </row>
    <row r="80" spans="1:14" x14ac:dyDescent="0.25">
      <c r="B80" s="1364"/>
      <c r="C80" s="211"/>
      <c r="D80" s="1264" t="s">
        <v>71</v>
      </c>
      <c r="E80" s="1361" t="s">
        <v>452</v>
      </c>
      <c r="F80" s="1360"/>
      <c r="G80" s="1366"/>
    </row>
    <row r="81" spans="2:7" x14ac:dyDescent="0.25">
      <c r="B81" s="1364"/>
      <c r="C81" s="211"/>
      <c r="D81" s="1362" t="s">
        <v>453</v>
      </c>
      <c r="E81" s="1363" t="s">
        <v>454</v>
      </c>
      <c r="F81" s="1360"/>
      <c r="G81" s="1366"/>
    </row>
    <row r="82" spans="2:7" x14ac:dyDescent="0.25">
      <c r="B82" s="1365"/>
      <c r="C82" s="679"/>
      <c r="D82" s="1368" t="s">
        <v>455</v>
      </c>
      <c r="E82" s="1369" t="s">
        <v>456</v>
      </c>
      <c r="F82" s="679"/>
      <c r="G82" s="1367"/>
    </row>
    <row r="92" spans="2:7" x14ac:dyDescent="0.25">
      <c r="C92" s="207" t="s">
        <v>271</v>
      </c>
    </row>
    <row r="93" spans="2:7" x14ac:dyDescent="0.25">
      <c r="C93" s="207" t="s">
        <v>1126</v>
      </c>
    </row>
    <row r="94" spans="2:7" x14ac:dyDescent="0.25">
      <c r="C94" s="207" t="s">
        <v>1127</v>
      </c>
    </row>
    <row r="95" spans="2:7" x14ac:dyDescent="0.25">
      <c r="C95" s="207" t="s">
        <v>1129</v>
      </c>
    </row>
    <row r="96" spans="2:7" x14ac:dyDescent="0.25">
      <c r="C96" s="207" t="s">
        <v>1128</v>
      </c>
    </row>
  </sheetData>
  <sheetProtection sheet="1" objects="1" scenarios="1" selectLockedCells="1"/>
  <mergeCells count="22">
    <mergeCell ref="K1:N1"/>
    <mergeCell ref="G2:J2"/>
    <mergeCell ref="K2:L2"/>
    <mergeCell ref="M2:N2"/>
    <mergeCell ref="K32:L32"/>
    <mergeCell ref="M32:N32"/>
    <mergeCell ref="K31:N31"/>
    <mergeCell ref="G32:J32"/>
    <mergeCell ref="G31:J31"/>
    <mergeCell ref="C73:G73"/>
    <mergeCell ref="C74:G74"/>
    <mergeCell ref="B1:F1"/>
    <mergeCell ref="C70:G70"/>
    <mergeCell ref="C71:G71"/>
    <mergeCell ref="G1:J1"/>
    <mergeCell ref="C72:G72"/>
    <mergeCell ref="B2:C2"/>
    <mergeCell ref="D2:F2"/>
    <mergeCell ref="B3:C3"/>
    <mergeCell ref="C60:G60"/>
    <mergeCell ref="C61:G61"/>
    <mergeCell ref="B31:F33"/>
  </mergeCells>
  <phoneticPr fontId="39" type="noConversion"/>
  <pageMargins left="0.7" right="0.7" top="0.75" bottom="0.75" header="0.3" footer="0.3"/>
  <pageSetup orientation="landscape" horizontalDpi="4294967293" verticalDpi="0" r:id="rId1"/>
  <rowBreaks count="1" manualBreakCount="1">
    <brk id="29"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A9CF8-9B43-401F-B3BA-20C2BB7236E5}">
  <sheetPr>
    <tabColor theme="6" tint="0.39997558519241921"/>
  </sheetPr>
  <dimension ref="A1:J47"/>
  <sheetViews>
    <sheetView showGridLines="0" zoomScaleNormal="100" workbookViewId="0">
      <selection activeCell="B10" sqref="B10"/>
    </sheetView>
  </sheetViews>
  <sheetFormatPr defaultColWidth="8.85546875" defaultRowHeight="15" x14ac:dyDescent="0.25"/>
  <cols>
    <col min="1" max="1" width="3.140625" style="204" customWidth="1"/>
    <col min="2" max="2" width="57.7109375" style="204" customWidth="1"/>
    <col min="3" max="3" width="15.28515625" style="391" customWidth="1"/>
    <col min="4" max="4" width="15.28515625" style="204" customWidth="1"/>
    <col min="5" max="5" width="16.28515625" style="204" customWidth="1"/>
    <col min="6" max="16384" width="8.85546875" style="204"/>
  </cols>
  <sheetData>
    <row r="1" spans="1:10" s="363" customFormat="1" ht="18.75" x14ac:dyDescent="0.25">
      <c r="A1" s="435">
        <v>1</v>
      </c>
      <c r="B1" s="1720" t="s">
        <v>609</v>
      </c>
      <c r="C1" s="1624"/>
      <c r="D1" s="1625"/>
    </row>
    <row r="2" spans="1:10" ht="18.75" x14ac:dyDescent="0.3">
      <c r="A2" s="435">
        <v>2</v>
      </c>
      <c r="B2" s="818">
        <f>'Input Sheet'!C4</f>
        <v>0</v>
      </c>
      <c r="C2" s="1721">
        <f>'Input Sheet'!C9</f>
        <v>0</v>
      </c>
      <c r="D2" s="1722"/>
      <c r="I2" s="270"/>
      <c r="J2" s="270"/>
    </row>
    <row r="3" spans="1:10" ht="24" customHeight="1" x14ac:dyDescent="0.3">
      <c r="A3" s="435">
        <v>3</v>
      </c>
      <c r="B3" s="982" t="s">
        <v>932</v>
      </c>
      <c r="C3" s="681" t="s">
        <v>587</v>
      </c>
      <c r="D3" s="819" t="s">
        <v>582</v>
      </c>
    </row>
    <row r="4" spans="1:10" x14ac:dyDescent="0.25">
      <c r="A4" s="435">
        <v>4</v>
      </c>
      <c r="B4" s="724" t="s">
        <v>1099</v>
      </c>
      <c r="C4" s="682">
        <f>'Income Statement'!F54</f>
        <v>0</v>
      </c>
      <c r="D4" s="820">
        <f>'Income Statement'!G54</f>
        <v>0</v>
      </c>
      <c r="E4" s="271"/>
    </row>
    <row r="5" spans="1:10" x14ac:dyDescent="0.25">
      <c r="A5" s="435">
        <v>5</v>
      </c>
      <c r="B5" s="724" t="s">
        <v>930</v>
      </c>
      <c r="C5" s="682">
        <f>'Income Statement'!F60+'Income Statement'!F65</f>
        <v>0</v>
      </c>
      <c r="D5" s="820">
        <f>'Income Statement'!G60+'Income Statement'!G65</f>
        <v>0</v>
      </c>
      <c r="E5" s="271"/>
    </row>
    <row r="6" spans="1:10" x14ac:dyDescent="0.25">
      <c r="A6" s="435">
        <v>6</v>
      </c>
      <c r="B6" s="724" t="s">
        <v>615</v>
      </c>
      <c r="C6" s="683">
        <f>'Income Statement'!F49</f>
        <v>0</v>
      </c>
      <c r="D6" s="749">
        <f>'Income Statement'!G49</f>
        <v>0</v>
      </c>
      <c r="E6" s="271"/>
    </row>
    <row r="7" spans="1:10" ht="17.25" x14ac:dyDescent="0.25">
      <c r="A7" s="435">
        <v>7</v>
      </c>
      <c r="B7" s="821" t="s">
        <v>610</v>
      </c>
      <c r="C7" s="684">
        <f>SUM(C4:C6)</f>
        <v>0</v>
      </c>
      <c r="D7" s="822">
        <f>SUM(D4:D6)</f>
        <v>0</v>
      </c>
      <c r="E7" s="271"/>
    </row>
    <row r="8" spans="1:10" x14ac:dyDescent="0.25">
      <c r="A8" s="435">
        <v>8</v>
      </c>
      <c r="B8" s="823" t="s">
        <v>1100</v>
      </c>
      <c r="C8" s="683">
        <f>'Income Statement'!F61</f>
        <v>0</v>
      </c>
      <c r="D8" s="749">
        <f>'Income Statement'!G61</f>
        <v>0</v>
      </c>
      <c r="E8" s="271"/>
    </row>
    <row r="9" spans="1:10" x14ac:dyDescent="0.25">
      <c r="A9" s="435">
        <v>9</v>
      </c>
      <c r="B9" s="724" t="s">
        <v>608</v>
      </c>
      <c r="C9" s="683">
        <f>'Input Sheet'!C64</f>
        <v>0</v>
      </c>
      <c r="D9" s="749">
        <f>'Input Sheet'!C64</f>
        <v>0</v>
      </c>
      <c r="E9" s="271"/>
    </row>
    <row r="10" spans="1:10" x14ac:dyDescent="0.25">
      <c r="A10" s="435">
        <v>10</v>
      </c>
      <c r="B10" s="724" t="s">
        <v>351</v>
      </c>
      <c r="C10" s="683">
        <f>'Income Statement'!F63</f>
        <v>0</v>
      </c>
      <c r="D10" s="749">
        <f>'Income Statement'!G63+'Income Statement'!G64</f>
        <v>0</v>
      </c>
      <c r="E10" s="271"/>
    </row>
    <row r="11" spans="1:10" s="391" customFormat="1" x14ac:dyDescent="0.25">
      <c r="A11" s="435">
        <v>11</v>
      </c>
      <c r="B11" s="821" t="s">
        <v>1101</v>
      </c>
      <c r="C11" s="685">
        <f>C7-SUM(C8:C10)</f>
        <v>0</v>
      </c>
      <c r="D11" s="824">
        <f>D7-SUM(D8:D10)</f>
        <v>0</v>
      </c>
      <c r="E11" s="271"/>
    </row>
    <row r="12" spans="1:10" s="391" customFormat="1" x14ac:dyDescent="0.25">
      <c r="A12" s="435">
        <v>12</v>
      </c>
      <c r="B12" s="825" t="s">
        <v>650</v>
      </c>
      <c r="C12" s="683">
        <f>'Income Statement'!F55</f>
        <v>0</v>
      </c>
      <c r="D12" s="749">
        <f>'Income Statement'!F55+'IS Schedules'!K23</f>
        <v>0</v>
      </c>
      <c r="E12" s="271"/>
    </row>
    <row r="13" spans="1:10" x14ac:dyDescent="0.25">
      <c r="A13" s="435">
        <v>13</v>
      </c>
      <c r="B13" s="826" t="s">
        <v>1102</v>
      </c>
      <c r="C13" s="686">
        <f>C11-C12</f>
        <v>0</v>
      </c>
      <c r="D13" s="827">
        <f>D11-D12</f>
        <v>0</v>
      </c>
      <c r="E13" s="271"/>
    </row>
    <row r="14" spans="1:10" s="391" customFormat="1" ht="30" customHeight="1" x14ac:dyDescent="0.3">
      <c r="A14" s="435">
        <v>14</v>
      </c>
      <c r="B14" s="982" t="s">
        <v>931</v>
      </c>
      <c r="C14" s="686"/>
      <c r="D14" s="827"/>
      <c r="E14" s="271"/>
    </row>
    <row r="15" spans="1:10" s="391" customFormat="1" ht="29.1" customHeight="1" x14ac:dyDescent="0.25">
      <c r="A15" s="435">
        <v>15</v>
      </c>
      <c r="B15" s="828" t="s">
        <v>1103</v>
      </c>
      <c r="C15" s="817">
        <f>'Balance Sheets'!I38+'Balance Sheets'!I39</f>
        <v>0</v>
      </c>
      <c r="D15" s="831">
        <f>'Balance Sheets'!I38+'Balance Sheets'!I39</f>
        <v>0</v>
      </c>
      <c r="E15" s="271"/>
    </row>
    <row r="16" spans="1:10" s="391" customFormat="1" x14ac:dyDescent="0.25">
      <c r="A16" s="435">
        <v>16</v>
      </c>
      <c r="B16" s="1268" t="s">
        <v>1104</v>
      </c>
      <c r="C16" s="682">
        <f>'Income Statement'!F56</f>
        <v>0</v>
      </c>
      <c r="D16" s="820">
        <f>'Income Statement'!F56+'IS Schedules'!K24+'IS Schedules'!K25</f>
        <v>0</v>
      </c>
      <c r="E16" s="271"/>
    </row>
    <row r="17" spans="1:5" s="391" customFormat="1" x14ac:dyDescent="0.25">
      <c r="A17" s="435">
        <v>17</v>
      </c>
      <c r="B17" s="826" t="s">
        <v>1130</v>
      </c>
      <c r="C17" s="816">
        <f>SUM(C15:C16)</f>
        <v>0</v>
      </c>
      <c r="D17" s="829">
        <f>SUM(D15:D16)</f>
        <v>0</v>
      </c>
      <c r="E17" s="271"/>
    </row>
    <row r="18" spans="1:5" s="391" customFormat="1" x14ac:dyDescent="0.25">
      <c r="A18" s="435">
        <v>18</v>
      </c>
      <c r="B18" s="830" t="s">
        <v>1105</v>
      </c>
      <c r="C18" s="817">
        <f>C12</f>
        <v>0</v>
      </c>
      <c r="D18" s="831">
        <f>D12</f>
        <v>0</v>
      </c>
      <c r="E18" s="271"/>
    </row>
    <row r="19" spans="1:5" s="391" customFormat="1" x14ac:dyDescent="0.25">
      <c r="A19" s="435">
        <v>19</v>
      </c>
      <c r="B19" s="1290" t="s">
        <v>1106</v>
      </c>
      <c r="C19" s="817">
        <f>('Input Sheet'!C56-'Input Sheet'!C53)+('Input Sheet'!C55-'Input Sheet'!C52)</f>
        <v>0</v>
      </c>
      <c r="D19" s="831">
        <f>('Input Sheet'!C56-'Input Sheet'!C53)+('Input Sheet'!C55-'Input Sheet'!C52)</f>
        <v>0</v>
      </c>
      <c r="E19" s="271"/>
    </row>
    <row r="20" spans="1:5" s="391" customFormat="1" x14ac:dyDescent="0.25">
      <c r="A20" s="435">
        <v>20</v>
      </c>
      <c r="B20" s="1291" t="s">
        <v>1107</v>
      </c>
      <c r="C20" s="1292">
        <f>'Income Statement'!F66</f>
        <v>0</v>
      </c>
      <c r="D20" s="1293">
        <f>'Income Statement'!G66</f>
        <v>0</v>
      </c>
      <c r="E20" s="271"/>
    </row>
    <row r="21" spans="1:5" s="391" customFormat="1" ht="30.75" thickBot="1" x14ac:dyDescent="0.3">
      <c r="A21" s="435">
        <v>21</v>
      </c>
      <c r="B21" s="871" t="s">
        <v>1108</v>
      </c>
      <c r="C21" s="872">
        <f>SUM(C17:C20)</f>
        <v>0</v>
      </c>
      <c r="D21" s="873">
        <f>SUM(D17:D20)</f>
        <v>0</v>
      </c>
      <c r="E21" s="271"/>
    </row>
    <row r="22" spans="1:5" s="391" customFormat="1" ht="15.75" thickBot="1" x14ac:dyDescent="0.3">
      <c r="A22" s="435">
        <v>22</v>
      </c>
      <c r="B22" s="869"/>
      <c r="C22" s="870"/>
      <c r="D22" s="870"/>
      <c r="E22" s="271"/>
    </row>
    <row r="23" spans="1:5" ht="23.65" customHeight="1" x14ac:dyDescent="0.3">
      <c r="A23" s="435">
        <v>23</v>
      </c>
      <c r="B23" s="1717" t="s">
        <v>352</v>
      </c>
      <c r="C23" s="1718"/>
      <c r="D23" s="1719"/>
    </row>
    <row r="24" spans="1:5" s="8" customFormat="1" ht="42.6" customHeight="1" x14ac:dyDescent="0.25">
      <c r="A24" s="435">
        <v>24</v>
      </c>
      <c r="B24" s="1294" t="s">
        <v>1109</v>
      </c>
      <c r="C24" s="1295">
        <f>C11-C21</f>
        <v>0</v>
      </c>
      <c r="D24" s="1296">
        <f>D11-D21</f>
        <v>0</v>
      </c>
    </row>
    <row r="25" spans="1:5" s="8" customFormat="1" ht="14.45" customHeight="1" x14ac:dyDescent="0.25">
      <c r="A25" s="435">
        <v>25</v>
      </c>
      <c r="B25" s="832" t="s">
        <v>935</v>
      </c>
      <c r="C25" s="688">
        <f>'Input Sheet'!C88</f>
        <v>0</v>
      </c>
      <c r="D25" s="833">
        <f>'Input Sheet'!C88</f>
        <v>0</v>
      </c>
    </row>
    <row r="26" spans="1:5" s="8" customFormat="1" ht="42.95" customHeight="1" x14ac:dyDescent="0.25">
      <c r="A26" s="435">
        <v>26</v>
      </c>
      <c r="B26" s="1294" t="s">
        <v>1110</v>
      </c>
      <c r="C26" s="1295">
        <f>C24-C25</f>
        <v>0</v>
      </c>
      <c r="D26" s="1296">
        <f>D24-D25</f>
        <v>0</v>
      </c>
    </row>
    <row r="27" spans="1:5" s="8" customFormat="1" ht="14.1" customHeight="1" x14ac:dyDescent="0.25">
      <c r="A27" s="435">
        <v>27</v>
      </c>
      <c r="B27" s="1294"/>
      <c r="C27" s="1295"/>
      <c r="D27" s="1296"/>
    </row>
    <row r="28" spans="1:5" s="8" customFormat="1" ht="41.1" customHeight="1" x14ac:dyDescent="0.25">
      <c r="A28" s="435">
        <v>28</v>
      </c>
      <c r="B28" s="1294" t="s">
        <v>1111</v>
      </c>
      <c r="C28" s="1295">
        <f>'Input Sheet'!C92</f>
        <v>0</v>
      </c>
      <c r="D28" s="1296">
        <f>'Input Sheet'!C92</f>
        <v>0</v>
      </c>
    </row>
    <row r="29" spans="1:5" s="8" customFormat="1" ht="14.1" customHeight="1" x14ac:dyDescent="0.25">
      <c r="A29" s="435">
        <v>29</v>
      </c>
      <c r="B29" s="1297" t="s">
        <v>1112</v>
      </c>
      <c r="C29" s="1295">
        <f>'Input Sheet'!C93</f>
        <v>0</v>
      </c>
      <c r="D29" s="1296">
        <f>'Input Sheet'!C93</f>
        <v>0</v>
      </c>
    </row>
    <row r="30" spans="1:5" s="8" customFormat="1" ht="14.1" customHeight="1" x14ac:dyDescent="0.25">
      <c r="A30" s="435">
        <v>30</v>
      </c>
      <c r="B30" s="1294"/>
      <c r="C30" s="1295"/>
      <c r="D30" s="1296"/>
    </row>
    <row r="31" spans="1:5" s="8" customFormat="1" ht="14.45" customHeight="1" x14ac:dyDescent="0.25">
      <c r="A31" s="435">
        <v>31</v>
      </c>
      <c r="B31" s="832" t="s">
        <v>934</v>
      </c>
      <c r="C31" s="983" t="e">
        <f>C11/C21</f>
        <v>#DIV/0!</v>
      </c>
      <c r="D31" s="984" t="e">
        <f>D11/D21</f>
        <v>#DIV/0!</v>
      </c>
    </row>
    <row r="32" spans="1:5" s="8" customFormat="1" ht="14.45" customHeight="1" x14ac:dyDescent="0.25">
      <c r="A32" s="435">
        <v>32</v>
      </c>
      <c r="B32" s="832" t="s">
        <v>1113</v>
      </c>
      <c r="C32" s="983" t="e">
        <f>C13/C17</f>
        <v>#DIV/0!</v>
      </c>
      <c r="D32" s="984" t="e">
        <f>D13/D17</f>
        <v>#DIV/0!</v>
      </c>
    </row>
    <row r="33" spans="1:5" s="8" customFormat="1" ht="14.45" customHeight="1" x14ac:dyDescent="0.25">
      <c r="A33" s="435">
        <v>33</v>
      </c>
      <c r="B33" s="832" t="s">
        <v>933</v>
      </c>
      <c r="C33" s="983" t="e">
        <f>C11/(C21+C25)</f>
        <v>#DIV/0!</v>
      </c>
      <c r="D33" s="984" t="e">
        <f>D11/(D21+D25)</f>
        <v>#DIV/0!</v>
      </c>
    </row>
    <row r="34" spans="1:5" ht="30.75" thickBot="1" x14ac:dyDescent="0.3">
      <c r="A34" s="435">
        <v>34</v>
      </c>
      <c r="B34" s="834" t="s">
        <v>1114</v>
      </c>
      <c r="C34" s="835" t="str">
        <f>IF(C24&gt;C25,"Yes","No")</f>
        <v>No</v>
      </c>
      <c r="D34" s="836" t="str">
        <f>IF(D24&gt;D25,"Yes","No")</f>
        <v>No</v>
      </c>
      <c r="E34" s="271"/>
    </row>
    <row r="35" spans="1:5" ht="25.15" customHeight="1" x14ac:dyDescent="0.25">
      <c r="A35" s="204" t="s">
        <v>353</v>
      </c>
    </row>
    <row r="36" spans="1:5" ht="51.4" customHeight="1" x14ac:dyDescent="0.25">
      <c r="A36" s="406">
        <v>1</v>
      </c>
      <c r="B36" s="1723" t="s">
        <v>729</v>
      </c>
      <c r="C36" s="1723"/>
      <c r="D36" s="1723"/>
    </row>
    <row r="38" spans="1:5" x14ac:dyDescent="0.25">
      <c r="C38" s="203"/>
    </row>
    <row r="39" spans="1:5" x14ac:dyDescent="0.25">
      <c r="C39" s="203"/>
    </row>
    <row r="40" spans="1:5" x14ac:dyDescent="0.25">
      <c r="C40" s="203"/>
    </row>
    <row r="41" spans="1:5" x14ac:dyDescent="0.25">
      <c r="C41" s="203"/>
    </row>
    <row r="42" spans="1:5" x14ac:dyDescent="0.25">
      <c r="C42" s="443"/>
    </row>
    <row r="43" spans="1:5" x14ac:dyDescent="0.25">
      <c r="C43" s="203"/>
    </row>
    <row r="44" spans="1:5" x14ac:dyDescent="0.25">
      <c r="C44" s="203"/>
    </row>
    <row r="45" spans="1:5" x14ac:dyDescent="0.25">
      <c r="C45" s="203"/>
    </row>
    <row r="46" spans="1:5" x14ac:dyDescent="0.25">
      <c r="C46" s="203"/>
    </row>
    <row r="47" spans="1:5" x14ac:dyDescent="0.25">
      <c r="C47" s="203"/>
    </row>
  </sheetData>
  <mergeCells count="4">
    <mergeCell ref="B23:D23"/>
    <mergeCell ref="B1:D1"/>
    <mergeCell ref="C2:D2"/>
    <mergeCell ref="B36:D36"/>
  </mergeCells>
  <phoneticPr fontId="39" type="noConversion"/>
  <pageMargins left="0.7" right="0.7" top="0.75" bottom="0.75" header="0.3" footer="0.3"/>
  <pageSetup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825A0-84D5-4281-860F-0B6C4431EBDE}">
  <sheetPr>
    <tabColor theme="6" tint="0.39997558519241921"/>
  </sheetPr>
  <dimension ref="A1:AA77"/>
  <sheetViews>
    <sheetView showGridLines="0" zoomScaleNormal="100" workbookViewId="0"/>
  </sheetViews>
  <sheetFormatPr defaultColWidth="8.85546875" defaultRowHeight="15" x14ac:dyDescent="0.25"/>
  <cols>
    <col min="1" max="1" width="39.28515625" style="372" customWidth="1"/>
    <col min="2" max="4" width="12.5703125" style="372" customWidth="1"/>
    <col min="5" max="5" width="14.7109375" style="372" customWidth="1"/>
    <col min="6" max="6" width="16.7109375" style="372" customWidth="1"/>
    <col min="7" max="7" width="14.85546875" style="372" customWidth="1"/>
    <col min="8" max="8" width="11.7109375" style="372" customWidth="1"/>
    <col min="9" max="9" width="8.85546875" style="372"/>
    <col min="10" max="10" width="8.85546875" style="204"/>
    <col min="11" max="11" width="10.42578125" style="204" bestFit="1" customWidth="1"/>
    <col min="12" max="13" width="8.85546875" style="204"/>
    <col min="14" max="14" width="9.140625" style="204" bestFit="1" customWidth="1"/>
    <col min="15" max="23" width="8.85546875" style="204"/>
    <col min="24" max="24" width="11.140625" style="204" bestFit="1" customWidth="1"/>
    <col min="25" max="16384" width="8.85546875" style="204"/>
  </cols>
  <sheetData>
    <row r="1" spans="1:8" ht="45.4" customHeight="1" x14ac:dyDescent="0.25">
      <c r="F1" s="1724" t="s">
        <v>721</v>
      </c>
      <c r="G1" s="1724"/>
    </row>
    <row r="2" spans="1:8" ht="17.25" x14ac:dyDescent="0.25">
      <c r="A2" s="367"/>
      <c r="B2" s="334" t="s">
        <v>581</v>
      </c>
      <c r="C2" s="334" t="str">
        <f>IF('Input Sheet'!$C$6="Milk","$ per Cow",IF('Input Sheet'!$C$6="Corn","$ per Acre",IF('Input Sheet'!$C$6="Soybeans","$ per Acre",IF('Input Sheet'!$C$6="Cattle","$ per Head","Other"))))</f>
        <v>Other</v>
      </c>
      <c r="D2" s="334" t="str">
        <f>IF('Input Sheet'!$C$6="Milk","$ per cwt.",IF('Input Sheet'!$C$6="Corn","$ per bu.",IF('Input Sheet'!$C$6="Soybeans","$ per bu.",IF('Input Sheet'!$C$6="Cattle","$ per lb.","Other"))))</f>
        <v>Other</v>
      </c>
      <c r="E2" s="334" t="s">
        <v>648</v>
      </c>
      <c r="F2" s="467" t="str">
        <f>IF('Input Sheet'!$C$6="Milk","$ per Cow",IF('Input Sheet'!$C$6="Corn","$ per Acre",IF('Input Sheet'!$C$6="Soybeans","$ per Acre",IF('Input Sheet'!$C$6="Cattle","$ per Head","Other"))))</f>
        <v>Other</v>
      </c>
      <c r="G2" s="467" t="str">
        <f>IF('Input Sheet'!$C$6="Milk","$ per cwt.",IF('Input Sheet'!$C$6="Corn","$ per bu.",IF('Input Sheet'!$C$6="Soybeans","$ per bu.",IF('Input Sheet'!$C$6="Cattle","$ per lb.","Other"))))</f>
        <v>Other</v>
      </c>
      <c r="H2" s="205"/>
    </row>
    <row r="3" spans="1:8" x14ac:dyDescent="0.25">
      <c r="A3" s="370" t="s">
        <v>582</v>
      </c>
      <c r="B3" s="367"/>
      <c r="C3" s="336" t="str">
        <f>IF('Input Sheet'!$C$6="Milk",'Input Sheet'!C$35,IF('Input Sheet'!$C$6="Corn",'Input Sheet'!C$12,IF('Input Sheet'!$C$6="Soybeans",'Input Sheet'!C$18,IF('Input Sheet'!$C$6="Cattle",'Input Sheet'!C$42,"Other"))))</f>
        <v>Other</v>
      </c>
      <c r="D3" s="336" t="str">
        <f>IF('Input Sheet'!$C$6="Milk",'Input Sheet'!C$38,IF('Input Sheet'!$C$6="Corn",'Input Sheet'!C$12*'Input Sheet'!C$13,IF('Input Sheet'!$C$6="Soybeans",'Input Sheet'!C$18*'Input Sheet'!C$19,IF('Input Sheet'!$C$6="Cattle",'Input Sheet'!C$42*'Input Sheet'!C$43,"Other"))))</f>
        <v>Other</v>
      </c>
      <c r="E3" s="336" t="str">
        <f>IF('Input Sheet'!$C$6="Milk",('Income Statement'!$G$19-'Income Statement'!$G$10)/'Input Sheet'!C$37,IF('Input Sheet'!$C$6="Corn",('Income Statement'!$G$19-'Income Statement'!$G$10)/'Input Sheet'!C$14,IF('Input Sheet'!$C$6="Soybeans",('Income Statement'!$G$19-'Income Statement'!$G$10)/'Input Sheet'!C$20,IF('Input Sheet'!$C$6="Cattle",('Income Statement'!$G$19-'Income Statement'!$G$10)/'Input Sheet'!C$44,"Other"))))</f>
        <v>Other</v>
      </c>
      <c r="F3" s="1340"/>
      <c r="G3" s="1341"/>
      <c r="H3" s="364"/>
    </row>
    <row r="4" spans="1:8" x14ac:dyDescent="0.25">
      <c r="A4" s="367" t="s">
        <v>586</v>
      </c>
      <c r="B4" s="5">
        <f>'Income Statement'!G19</f>
        <v>0</v>
      </c>
      <c r="C4" s="5" t="e">
        <f t="shared" ref="C4:E5" si="0">$B4/C$3</f>
        <v>#VALUE!</v>
      </c>
      <c r="D4" s="376" t="e">
        <f t="shared" si="0"/>
        <v>#VALUE!</v>
      </c>
      <c r="E4" s="376" t="e">
        <f t="shared" si="0"/>
        <v>#VALUE!</v>
      </c>
      <c r="F4" s="1342"/>
      <c r="G4" s="1342"/>
      <c r="H4" s="377"/>
    </row>
    <row r="5" spans="1:8" s="372" customFormat="1" x14ac:dyDescent="0.25">
      <c r="A5" s="367" t="s">
        <v>652</v>
      </c>
      <c r="B5" s="407" t="str">
        <f>IF('Input Sheet'!$C$6="Milk",'Input Sheet'!$C$40,IF('Input Sheet'!$C$6="Corn",'Input Sheet'!$C$16,IF('Input Sheet'!$C$6="Soybeans",'Input Sheet'!$C$22,IF('Input Sheet'!$C$6="Cattle",'Input Sheet'!$C$46,"Other"))))</f>
        <v>Other</v>
      </c>
      <c r="C5" s="5" t="e">
        <f t="shared" si="0"/>
        <v>#VALUE!</v>
      </c>
      <c r="D5" s="376" t="e">
        <f t="shared" si="0"/>
        <v>#VALUE!</v>
      </c>
      <c r="E5" s="1130" t="s">
        <v>1030</v>
      </c>
      <c r="F5" s="1343"/>
      <c r="G5" s="1344"/>
      <c r="H5" s="377"/>
    </row>
    <row r="6" spans="1:8" x14ac:dyDescent="0.25">
      <c r="A6" s="367" t="s">
        <v>1029</v>
      </c>
      <c r="B6" s="5">
        <f>'Income Statement'!G52</f>
        <v>0</v>
      </c>
      <c r="C6" s="5" t="e">
        <f t="shared" ref="C6:E17" si="1">$B6/C$3</f>
        <v>#VALUE!</v>
      </c>
      <c r="D6" s="376" t="e">
        <f t="shared" si="1"/>
        <v>#VALUE!</v>
      </c>
      <c r="E6" s="376" t="e">
        <f t="shared" si="1"/>
        <v>#VALUE!</v>
      </c>
      <c r="F6" s="468" t="e">
        <f>'Cost of Production Summary'!J9</f>
        <v>#VALUE!</v>
      </c>
      <c r="G6" s="469" t="e">
        <f>'Cost of Production Summary'!K9</f>
        <v>#VALUE!</v>
      </c>
      <c r="H6" s="377"/>
    </row>
    <row r="7" spans="1:8" s="391" customFormat="1" x14ac:dyDescent="0.25">
      <c r="A7" s="1266" t="s">
        <v>1123</v>
      </c>
      <c r="B7" s="5">
        <f>'Cost of Production Summary'!C11</f>
        <v>0</v>
      </c>
      <c r="C7" s="5" t="e">
        <f>'Cost of Production Summary'!D11</f>
        <v>#VALUE!</v>
      </c>
      <c r="D7" s="376" t="e">
        <f>'Cost of Production Summary'!E11</f>
        <v>#VALUE!</v>
      </c>
      <c r="E7" s="376" t="e">
        <f>'Cost of Production Summary'!F11</f>
        <v>#VALUE!</v>
      </c>
      <c r="F7" s="468" t="e">
        <f>'Cost of Production Summary'!J11</f>
        <v>#VALUE!</v>
      </c>
      <c r="G7" s="1339" t="e">
        <f>'Cost of Production Summary'!K11</f>
        <v>#VALUE!</v>
      </c>
      <c r="H7" s="377"/>
    </row>
    <row r="8" spans="1:8" x14ac:dyDescent="0.25">
      <c r="A8" s="367" t="s">
        <v>583</v>
      </c>
      <c r="B8" s="5">
        <f>'Income Statement'!G54</f>
        <v>0</v>
      </c>
      <c r="C8" s="5" t="e">
        <f t="shared" si="1"/>
        <v>#VALUE!</v>
      </c>
      <c r="D8" s="376" t="e">
        <f t="shared" si="1"/>
        <v>#VALUE!</v>
      </c>
      <c r="E8" s="376" t="e">
        <f t="shared" si="1"/>
        <v>#VALUE!</v>
      </c>
      <c r="F8" s="409"/>
      <c r="G8" s="377"/>
      <c r="H8" s="377"/>
    </row>
    <row r="9" spans="1:8" x14ac:dyDescent="0.25">
      <c r="A9" s="367" t="s">
        <v>584</v>
      </c>
      <c r="B9" s="5">
        <f>'Income Statement'!G62</f>
        <v>0</v>
      </c>
      <c r="C9" s="5" t="e">
        <f t="shared" si="1"/>
        <v>#VALUE!</v>
      </c>
      <c r="D9" s="376" t="e">
        <f t="shared" si="1"/>
        <v>#VALUE!</v>
      </c>
      <c r="E9" s="376" t="e">
        <f t="shared" si="1"/>
        <v>#VALUE!</v>
      </c>
      <c r="F9" s="377"/>
      <c r="G9" s="377"/>
      <c r="H9" s="203"/>
    </row>
    <row r="10" spans="1:8" x14ac:dyDescent="0.25">
      <c r="A10" s="367" t="s">
        <v>585</v>
      </c>
      <c r="B10" s="5">
        <f>'Income Statement'!G67</f>
        <v>0</v>
      </c>
      <c r="C10" s="5" t="e">
        <f t="shared" si="1"/>
        <v>#VALUE!</v>
      </c>
      <c r="D10" s="376" t="e">
        <f t="shared" si="1"/>
        <v>#VALUE!</v>
      </c>
      <c r="E10" s="376" t="e">
        <f t="shared" si="1"/>
        <v>#VALUE!</v>
      </c>
      <c r="F10" s="377"/>
      <c r="G10" s="377"/>
      <c r="H10" s="377"/>
    </row>
    <row r="11" spans="1:8" x14ac:dyDescent="0.25">
      <c r="A11" s="370" t="s">
        <v>587</v>
      </c>
      <c r="B11" s="5"/>
      <c r="C11" s="5"/>
      <c r="D11" s="376"/>
      <c r="E11" s="336" t="str">
        <f>IF('Input Sheet'!$C$6="Milk",('Income Statement'!$F$19-'Income Statement'!$F$10)/'Input Sheet'!C$37,IF('Input Sheet'!$C$6="Corn",('Income Statement'!$F$19-'Income Statement'!$F$10)/'Input Sheet'!C$14,IF('Input Sheet'!$C$6="Soybeans",('Income Statement'!$F$19-'Income Statement'!$F$10)/'Input Sheet'!C$20,IF('Input Sheet'!$C$6="Cattle",('Income Statement'!$F$19-'Income Statement'!$F$10)/'Input Sheet'!C$44,"Other"))))</f>
        <v>Other</v>
      </c>
      <c r="F11" s="378"/>
      <c r="G11" s="378"/>
      <c r="H11" s="378"/>
    </row>
    <row r="12" spans="1:8" x14ac:dyDescent="0.25">
      <c r="A12" s="367" t="s">
        <v>586</v>
      </c>
      <c r="B12" s="5">
        <f>'Income Statement'!F19</f>
        <v>0</v>
      </c>
      <c r="C12" s="5" t="e">
        <f t="shared" si="1"/>
        <v>#VALUE!</v>
      </c>
      <c r="D12" s="376" t="e">
        <f t="shared" si="1"/>
        <v>#VALUE!</v>
      </c>
      <c r="E12" s="376" t="e">
        <f>$B12/E$11</f>
        <v>#VALUE!</v>
      </c>
      <c r="F12" s="377"/>
      <c r="G12" s="377"/>
      <c r="H12" s="377"/>
    </row>
    <row r="13" spans="1:8" x14ac:dyDescent="0.25">
      <c r="A13" s="367" t="s">
        <v>1029</v>
      </c>
      <c r="B13" s="5">
        <f>'Income Statement'!F52</f>
        <v>0</v>
      </c>
      <c r="C13" s="5" t="e">
        <f t="shared" si="1"/>
        <v>#VALUE!</v>
      </c>
      <c r="D13" s="376" t="e">
        <f t="shared" si="1"/>
        <v>#VALUE!</v>
      </c>
      <c r="E13" s="376" t="e">
        <f t="shared" ref="E13:E17" si="2">$B13/E$11</f>
        <v>#VALUE!</v>
      </c>
      <c r="F13" s="468" t="e">
        <f>'Cost of Production Summary'!J15</f>
        <v>#VALUE!</v>
      </c>
      <c r="G13" s="469" t="e">
        <f>'Cost of Production Summary'!K15</f>
        <v>#VALUE!</v>
      </c>
      <c r="H13" s="377"/>
    </row>
    <row r="14" spans="1:8" s="391" customFormat="1" x14ac:dyDescent="0.25">
      <c r="A14" s="5" t="s">
        <v>560</v>
      </c>
      <c r="B14" s="5">
        <f>'Cost of Production Summary'!C18</f>
        <v>0</v>
      </c>
      <c r="C14" s="5" t="e">
        <f>'Cost of Production Summary'!D18</f>
        <v>#VALUE!</v>
      </c>
      <c r="D14" s="376" t="e">
        <f>'Cost of Production Summary'!E18</f>
        <v>#VALUE!</v>
      </c>
      <c r="E14" s="376" t="e">
        <f>'Cost of Production Summary'!F18</f>
        <v>#VALUE!</v>
      </c>
      <c r="F14" s="468" t="e">
        <f>'Cost of Production Summary'!J18</f>
        <v>#VALUE!</v>
      </c>
      <c r="G14" s="1339" t="e">
        <f>'Cost of Production Summary'!K18</f>
        <v>#VALUE!</v>
      </c>
      <c r="H14" s="377"/>
    </row>
    <row r="15" spans="1:8" x14ac:dyDescent="0.25">
      <c r="A15" s="367" t="s">
        <v>583</v>
      </c>
      <c r="B15" s="5">
        <f>'Income Statement'!F54</f>
        <v>0</v>
      </c>
      <c r="C15" s="5" t="e">
        <f t="shared" si="1"/>
        <v>#VALUE!</v>
      </c>
      <c r="D15" s="376" t="e">
        <f t="shared" si="1"/>
        <v>#VALUE!</v>
      </c>
      <c r="E15" s="376" t="e">
        <f t="shared" si="2"/>
        <v>#VALUE!</v>
      </c>
      <c r="F15" s="377"/>
      <c r="G15" s="377"/>
      <c r="H15" s="377"/>
    </row>
    <row r="16" spans="1:8" x14ac:dyDescent="0.25">
      <c r="A16" s="367" t="s">
        <v>584</v>
      </c>
      <c r="B16" s="5">
        <f>'Income Statement'!F62</f>
        <v>0</v>
      </c>
      <c r="C16" s="5" t="e">
        <f t="shared" si="1"/>
        <v>#VALUE!</v>
      </c>
      <c r="D16" s="376" t="e">
        <f t="shared" si="1"/>
        <v>#VALUE!</v>
      </c>
      <c r="E16" s="376" t="e">
        <f t="shared" si="2"/>
        <v>#VALUE!</v>
      </c>
      <c r="F16" s="377"/>
      <c r="G16" s="377"/>
      <c r="H16" s="377"/>
    </row>
    <row r="17" spans="1:8" x14ac:dyDescent="0.25">
      <c r="A17" s="367" t="s">
        <v>585</v>
      </c>
      <c r="B17" s="5">
        <f>'Income Statement'!F67</f>
        <v>0</v>
      </c>
      <c r="C17" s="5" t="e">
        <f t="shared" si="1"/>
        <v>#VALUE!</v>
      </c>
      <c r="D17" s="376" t="e">
        <f t="shared" si="1"/>
        <v>#VALUE!</v>
      </c>
      <c r="E17" s="376" t="e">
        <f t="shared" si="2"/>
        <v>#VALUE!</v>
      </c>
      <c r="F17" s="377"/>
      <c r="G17" s="377"/>
      <c r="H17" s="377"/>
    </row>
    <row r="18" spans="1:8" ht="28.5" customHeight="1" x14ac:dyDescent="0.25"/>
    <row r="19" spans="1:8" s="372" customFormat="1" ht="17.25" x14ac:dyDescent="0.25">
      <c r="A19" s="387"/>
      <c r="B19" s="334" t="s">
        <v>581</v>
      </c>
      <c r="C19" s="334" t="str">
        <f>IF('Input Sheet'!$C$6="Milk","$ per Cow",IF('Input Sheet'!$C$6="Corn","$ per Acre",IF('Input Sheet'!$C$6="Soybeans","$ per Acre",IF('Input Sheet'!$C$6="Cattle","$ per Head","Other"))))</f>
        <v>Other</v>
      </c>
      <c r="D19" s="334" t="str">
        <f>IF('Input Sheet'!$C$6="Milk","$ per cwt.",IF('Input Sheet'!$C$6="Corn","$ per bu.",IF('Input Sheet'!$C$6="Soybeans","$ per bu.",IF('Input Sheet'!$C$6="Cattle","$ per lb.","Other"))))</f>
        <v>Other</v>
      </c>
      <c r="E19" s="334" t="s">
        <v>648</v>
      </c>
      <c r="F19" s="379" t="s">
        <v>592</v>
      </c>
      <c r="G19" s="379" t="s">
        <v>593</v>
      </c>
      <c r="H19" s="381"/>
    </row>
    <row r="20" spans="1:8" s="372" customFormat="1" x14ac:dyDescent="0.25">
      <c r="A20" s="388"/>
      <c r="B20" s="334"/>
      <c r="C20" s="336" t="str">
        <f>IF('Input Sheet'!$C$6="Milk",'Input Sheet'!C$35,IF('Input Sheet'!$C$6="Corn",'Input Sheet'!C$12,IF('Input Sheet'!$C$6="Soybeans",'Input Sheet'!C$18,IF('Input Sheet'!$C$6="Cattle",'Input Sheet'!C$42,"Other"))))</f>
        <v>Other</v>
      </c>
      <c r="D20" s="336" t="str">
        <f>IF('Input Sheet'!$C$6="Milk",'Input Sheet'!C$38,IF('Input Sheet'!$C$6="Corn",'Input Sheet'!C$12*'Input Sheet'!C$13,IF('Input Sheet'!$C$6="Soybeans",'Input Sheet'!C$18*'Input Sheet'!C$19,IF('Input Sheet'!$C$6="Cattle",'Input Sheet'!C$42*'Input Sheet'!C$43,"Other"))))</f>
        <v>Other</v>
      </c>
      <c r="E20" s="336" t="str">
        <f>IF('Input Sheet'!$C$6="Milk",('Income Statement'!$G$19-'Income Statement'!$G$10)/'Input Sheet'!C$37,IF('Input Sheet'!$C$6="Corn",('Income Statement'!$G$19-'Income Statement'!$G$10)/'Input Sheet'!C$14,IF('Input Sheet'!$C$6="Soybeans",('Income Statement'!$G$19-'Income Statement'!$G$10)/'Input Sheet'!C$20,IF('Input Sheet'!$C$6="Cattle",('Income Statement'!$G$19-'Income Statement'!$G$10)/'Input Sheet'!C$44,"Other"))))</f>
        <v>Other</v>
      </c>
      <c r="F20" s="382">
        <v>365</v>
      </c>
      <c r="G20" s="383">
        <f>'Income Statement'!G19</f>
        <v>0</v>
      </c>
      <c r="H20" s="384"/>
    </row>
    <row r="21" spans="1:8" s="372" customFormat="1" x14ac:dyDescent="0.25">
      <c r="A21" s="370" t="s">
        <v>1132</v>
      </c>
      <c r="B21" s="334"/>
      <c r="C21" s="5"/>
      <c r="D21" s="5"/>
      <c r="E21" s="5"/>
      <c r="F21" s="382"/>
      <c r="G21" s="383"/>
      <c r="H21" s="384"/>
    </row>
    <row r="22" spans="1:8" x14ac:dyDescent="0.25">
      <c r="A22" s="1370" t="s">
        <v>1131</v>
      </c>
      <c r="B22" s="257">
        <f>'Balance Sheets'!H72+'Income Statement'!G71</f>
        <v>0</v>
      </c>
      <c r="C22" s="5" t="e">
        <f>$B22/C$20</f>
        <v>#VALUE!</v>
      </c>
      <c r="D22" s="376" t="e">
        <f t="shared" ref="D22:G27" si="3">$B22/D$20</f>
        <v>#VALUE!</v>
      </c>
      <c r="E22" s="376" t="e">
        <f t="shared" si="3"/>
        <v>#VALUE!</v>
      </c>
      <c r="F22" s="5">
        <f t="shared" si="3"/>
        <v>0</v>
      </c>
      <c r="G22" s="385" t="e">
        <f t="shared" si="3"/>
        <v>#DIV/0!</v>
      </c>
      <c r="H22" s="377"/>
    </row>
    <row r="23" spans="1:8" s="372" customFormat="1" x14ac:dyDescent="0.25">
      <c r="A23" s="1370" t="s">
        <v>1133</v>
      </c>
      <c r="B23" s="257">
        <f>'Repayment &amp; Replacement'!D17</f>
        <v>0</v>
      </c>
      <c r="C23" s="5" t="e">
        <f t="shared" ref="C23:C27" si="4">$B23/C$20</f>
        <v>#VALUE!</v>
      </c>
      <c r="D23" s="376" t="e">
        <f t="shared" si="3"/>
        <v>#VALUE!</v>
      </c>
      <c r="E23" s="376" t="e">
        <f t="shared" si="3"/>
        <v>#VALUE!</v>
      </c>
      <c r="F23" s="5">
        <f t="shared" si="3"/>
        <v>0</v>
      </c>
      <c r="G23" s="385" t="e">
        <f t="shared" si="3"/>
        <v>#DIV/0!</v>
      </c>
      <c r="H23" s="377"/>
    </row>
    <row r="24" spans="1:8" s="372" customFormat="1" x14ac:dyDescent="0.25">
      <c r="A24" s="1370" t="s">
        <v>1134</v>
      </c>
      <c r="B24" s="257">
        <f>'Balance Sheets'!H77</f>
        <v>0</v>
      </c>
      <c r="C24" s="5" t="e">
        <f t="shared" si="4"/>
        <v>#VALUE!</v>
      </c>
      <c r="D24" s="376" t="e">
        <f t="shared" si="3"/>
        <v>#VALUE!</v>
      </c>
      <c r="E24" s="376" t="e">
        <f t="shared" si="3"/>
        <v>#VALUE!</v>
      </c>
      <c r="F24" s="5">
        <f t="shared" si="3"/>
        <v>0</v>
      </c>
      <c r="G24" s="385" t="e">
        <f t="shared" si="3"/>
        <v>#DIV/0!</v>
      </c>
      <c r="H24" s="377"/>
    </row>
    <row r="25" spans="1:8" s="372" customFormat="1" x14ac:dyDescent="0.25">
      <c r="A25" s="1370" t="s">
        <v>1135</v>
      </c>
      <c r="B25" s="257">
        <f>'Balance Sheets'!H76</f>
        <v>0</v>
      </c>
      <c r="C25" s="5" t="e">
        <f t="shared" si="4"/>
        <v>#VALUE!</v>
      </c>
      <c r="D25" s="376" t="e">
        <f t="shared" si="3"/>
        <v>#VALUE!</v>
      </c>
      <c r="E25" s="376" t="e">
        <f t="shared" si="3"/>
        <v>#VALUE!</v>
      </c>
      <c r="F25" s="5">
        <f t="shared" si="3"/>
        <v>0</v>
      </c>
      <c r="G25" s="385" t="e">
        <f t="shared" si="3"/>
        <v>#DIV/0!</v>
      </c>
      <c r="H25" s="377"/>
    </row>
    <row r="26" spans="1:8" s="372" customFormat="1" x14ac:dyDescent="0.25">
      <c r="A26" s="1370" t="s">
        <v>1136</v>
      </c>
      <c r="B26" s="257">
        <f>'Balance Sheets'!I47</f>
        <v>0</v>
      </c>
      <c r="C26" s="5" t="e">
        <f t="shared" si="4"/>
        <v>#VALUE!</v>
      </c>
      <c r="D26" s="376" t="e">
        <f t="shared" si="3"/>
        <v>#VALUE!</v>
      </c>
      <c r="E26" s="376" t="e">
        <f t="shared" si="3"/>
        <v>#VALUE!</v>
      </c>
      <c r="F26" s="5">
        <f t="shared" si="3"/>
        <v>0</v>
      </c>
      <c r="G26" s="385" t="e">
        <f t="shared" si="3"/>
        <v>#DIV/0!</v>
      </c>
      <c r="H26" s="377"/>
    </row>
    <row r="27" spans="1:8" s="372" customFormat="1" x14ac:dyDescent="0.25">
      <c r="A27" s="1370" t="s">
        <v>1137</v>
      </c>
      <c r="B27" s="257">
        <f>'Balance Sheets'!I58</f>
        <v>0</v>
      </c>
      <c r="C27" s="5" t="e">
        <f t="shared" si="4"/>
        <v>#VALUE!</v>
      </c>
      <c r="D27" s="376" t="e">
        <f t="shared" si="3"/>
        <v>#VALUE!</v>
      </c>
      <c r="E27" s="376" t="e">
        <f t="shared" si="3"/>
        <v>#VALUE!</v>
      </c>
      <c r="F27" s="5">
        <f t="shared" si="3"/>
        <v>0</v>
      </c>
      <c r="G27" s="385" t="e">
        <f t="shared" si="3"/>
        <v>#DIV/0!</v>
      </c>
      <c r="H27" s="377"/>
    </row>
    <row r="28" spans="1:8" s="372" customFormat="1" x14ac:dyDescent="0.25">
      <c r="A28" s="402" t="s">
        <v>653</v>
      </c>
      <c r="B28" s="278" t="e">
        <f>('Income Statement'!G71/'Balance Sheets'!F77)</f>
        <v>#DIV/0!</v>
      </c>
      <c r="C28" s="5"/>
      <c r="D28" s="376"/>
      <c r="E28" s="376"/>
      <c r="F28" s="5"/>
      <c r="G28" s="376"/>
      <c r="H28" s="377"/>
    </row>
    <row r="29" spans="1:8" ht="26.65" customHeight="1" x14ac:dyDescent="0.25">
      <c r="A29" s="332"/>
      <c r="B29" s="380"/>
      <c r="C29" s="380"/>
      <c r="D29" s="380"/>
      <c r="E29" s="380"/>
      <c r="F29" s="380"/>
      <c r="G29" s="380"/>
      <c r="H29" s="380"/>
    </row>
    <row r="30" spans="1:8" s="368" customFormat="1" ht="17.25" x14ac:dyDescent="0.25">
      <c r="A30" s="386" t="s">
        <v>655</v>
      </c>
      <c r="B30" s="366" t="s">
        <v>199</v>
      </c>
      <c r="C30" s="366" t="s">
        <v>385</v>
      </c>
      <c r="D30" s="359" t="s">
        <v>201</v>
      </c>
      <c r="E30" s="463" t="s">
        <v>594</v>
      </c>
    </row>
    <row r="31" spans="1:8" x14ac:dyDescent="0.25">
      <c r="A31" s="238" t="s">
        <v>1143</v>
      </c>
      <c r="B31" s="251" t="s">
        <v>386</v>
      </c>
      <c r="C31" s="311" t="s">
        <v>387</v>
      </c>
      <c r="D31" s="260" t="s">
        <v>388</v>
      </c>
      <c r="E31" s="464" t="str">
        <f>IF('Input Sheet'!$C$6="Milk",'Balance Sheets'!G58/'Input Sheet'!C35,"not applicable")</f>
        <v>not applicable</v>
      </c>
    </row>
    <row r="32" spans="1:8" s="391" customFormat="1" x14ac:dyDescent="0.25">
      <c r="A32" s="402" t="s">
        <v>1141</v>
      </c>
      <c r="B32" s="1730" t="s">
        <v>1144</v>
      </c>
      <c r="C32" s="1527"/>
      <c r="D32" s="1731"/>
      <c r="E32" s="464" t="str">
        <f>IF('Input Sheet'!$C$6="Milk",'Balance Sheets'!G58/'Input Sheet'!C38,"not applicable")</f>
        <v>not applicable</v>
      </c>
    </row>
    <row r="33" spans="1:7" s="391" customFormat="1" x14ac:dyDescent="0.25">
      <c r="A33" s="402" t="s">
        <v>1142</v>
      </c>
      <c r="B33" s="1730" t="s">
        <v>1144</v>
      </c>
      <c r="C33" s="1527"/>
      <c r="D33" s="1731"/>
      <c r="E33" s="464" t="str">
        <f>IF('Input Sheet'!$C$6="Milk",'Balance Sheets'!G58/'Cost of Production Summary'!F4,"not applicable")</f>
        <v>not applicable</v>
      </c>
    </row>
    <row r="34" spans="1:7" x14ac:dyDescent="0.25">
      <c r="A34" s="238" t="s">
        <v>595</v>
      </c>
      <c r="B34" s="251" t="s">
        <v>216</v>
      </c>
      <c r="C34" s="311" t="s">
        <v>389</v>
      </c>
      <c r="D34" s="260" t="s">
        <v>390</v>
      </c>
      <c r="E34" s="465" t="str">
        <f>IF('Input Sheet'!$C$6="Milk",'Balance Sheets'!G58/'Income Statement'!G19,"not applicable")</f>
        <v>not applicable</v>
      </c>
    </row>
    <row r="35" spans="1:7" x14ac:dyDescent="0.25">
      <c r="A35" s="238" t="s">
        <v>391</v>
      </c>
      <c r="B35" s="251" t="s">
        <v>499</v>
      </c>
      <c r="C35" s="311" t="s">
        <v>498</v>
      </c>
      <c r="D35" s="260" t="s">
        <v>392</v>
      </c>
      <c r="E35" s="464" t="str">
        <f>IF('Input Sheet'!$C$6="Milk",'Balance Sheets'!G33/'Input Sheet'!C35,"not applicable")</f>
        <v>not applicable</v>
      </c>
    </row>
    <row r="36" spans="1:7" x14ac:dyDescent="0.25">
      <c r="A36" s="238" t="s">
        <v>393</v>
      </c>
      <c r="B36" s="251" t="s">
        <v>394</v>
      </c>
      <c r="C36" s="311" t="s">
        <v>500</v>
      </c>
      <c r="D36" s="260" t="s">
        <v>501</v>
      </c>
      <c r="E36" s="465" t="str">
        <f>IF('Input Sheet'!$C$6="Milk",'Input Sheet'!C29/'Input Sheet'!C35,"not applicable")</f>
        <v>not applicable</v>
      </c>
      <c r="G36" s="408"/>
    </row>
    <row r="37" spans="1:7" x14ac:dyDescent="0.25">
      <c r="A37" s="238" t="s">
        <v>395</v>
      </c>
      <c r="B37" s="251" t="s">
        <v>396</v>
      </c>
      <c r="C37" s="311" t="s">
        <v>397</v>
      </c>
      <c r="D37" s="260" t="s">
        <v>398</v>
      </c>
      <c r="E37" s="464" t="str">
        <f>IF('Input Sheet'!$C$6="Milk",'Balance Sheets'!G19/'Input Sheet'!C35,"not applicable")</f>
        <v>not applicable</v>
      </c>
      <c r="G37" s="11"/>
    </row>
    <row r="38" spans="1:7" x14ac:dyDescent="0.25">
      <c r="A38" s="238" t="s">
        <v>654</v>
      </c>
      <c r="B38" s="251" t="s">
        <v>399</v>
      </c>
      <c r="C38" s="311" t="s">
        <v>400</v>
      </c>
      <c r="D38" s="260" t="s">
        <v>401</v>
      </c>
      <c r="E38" s="464" t="str">
        <f>IF('Input Sheet'!$C$6="Milk",('Input Sheet'!C38/'Input Sheet'!C35)*100,"not applicable")</f>
        <v>not applicable</v>
      </c>
      <c r="G38" s="11"/>
    </row>
    <row r="39" spans="1:7" x14ac:dyDescent="0.25">
      <c r="A39" s="238" t="s">
        <v>402</v>
      </c>
      <c r="B39" s="251" t="s">
        <v>403</v>
      </c>
      <c r="C39" s="311" t="s">
        <v>404</v>
      </c>
      <c r="D39" s="260" t="s">
        <v>405</v>
      </c>
      <c r="E39" s="464" t="str">
        <f>IF('Input Sheet'!$C$6="Milk",'Income Statement'!F19/'Input Sheet'!C35,"not applicable")</f>
        <v>not applicable</v>
      </c>
      <c r="G39" s="11"/>
    </row>
    <row r="40" spans="1:7" x14ac:dyDescent="0.25">
      <c r="A40" s="238" t="s">
        <v>406</v>
      </c>
      <c r="B40" s="251" t="s">
        <v>407</v>
      </c>
      <c r="C40" s="311" t="s">
        <v>408</v>
      </c>
      <c r="D40" s="260" t="s">
        <v>409</v>
      </c>
      <c r="E40" s="464" t="str">
        <f>IF('Input Sheet'!$C$6="Milk",'Cost of Production Summary'!C20/'Input Sheet'!C35,"not applicable")</f>
        <v>not applicable</v>
      </c>
      <c r="G40" s="11"/>
    </row>
    <row r="41" spans="1:7" x14ac:dyDescent="0.25">
      <c r="A41" s="238" t="s">
        <v>502</v>
      </c>
      <c r="B41" s="251" t="s">
        <v>410</v>
      </c>
      <c r="C41" s="311" t="s">
        <v>411</v>
      </c>
      <c r="D41" s="260" t="s">
        <v>412</v>
      </c>
      <c r="E41" s="464" t="str">
        <f>IF('Input Sheet'!$C$6="Milk",'Income Statement'!F62/'Input Sheet'!C35,"not applicable")</f>
        <v>not applicable</v>
      </c>
      <c r="G41" s="11"/>
    </row>
    <row r="42" spans="1:7" x14ac:dyDescent="0.25">
      <c r="A42" s="238" t="s">
        <v>596</v>
      </c>
      <c r="B42" s="1725" t="s">
        <v>413</v>
      </c>
      <c r="C42" s="1726" t="s">
        <v>414</v>
      </c>
      <c r="D42" s="1727" t="s">
        <v>415</v>
      </c>
      <c r="E42" s="466" t="str">
        <f>IF('Input Sheet'!$C$6="Milk",'Cost of Production Summary'!E11,"not applicable")</f>
        <v>not applicable</v>
      </c>
      <c r="G42" s="65"/>
    </row>
    <row r="43" spans="1:7" x14ac:dyDescent="0.25">
      <c r="A43" s="369" t="s">
        <v>597</v>
      </c>
      <c r="B43" s="1725"/>
      <c r="C43" s="1726"/>
      <c r="D43" s="1727"/>
      <c r="E43" s="466" t="str">
        <f>IF('Input Sheet'!$C$6="Milk",'Cost of Production Summary'!F11,"not applicable")</f>
        <v>not applicable</v>
      </c>
      <c r="G43" s="65"/>
    </row>
    <row r="44" spans="1:7" x14ac:dyDescent="0.25">
      <c r="A44" s="369" t="s">
        <v>598</v>
      </c>
      <c r="B44" s="1725"/>
      <c r="C44" s="1726"/>
      <c r="D44" s="1727"/>
      <c r="E44" s="466" t="str">
        <f>IF('Input Sheet'!$C$6="Milk",'Cost of Production Summary'!G11,"not applicable")</f>
        <v>not applicable</v>
      </c>
      <c r="G44" s="65"/>
    </row>
    <row r="45" spans="1:7" s="391" customFormat="1" x14ac:dyDescent="0.25">
      <c r="A45" s="402" t="s">
        <v>1140</v>
      </c>
      <c r="B45" s="1270"/>
      <c r="C45" s="1271"/>
      <c r="D45" s="1272"/>
      <c r="E45" s="464" t="e">
        <f>('Income Statement'!G22+'Input Sheet'!C71)/'Input Sheet'!C35</f>
        <v>#DIV/0!</v>
      </c>
      <c r="G45" s="65"/>
    </row>
    <row r="46" spans="1:7" s="391" customFormat="1" x14ac:dyDescent="0.25">
      <c r="A46" s="402" t="s">
        <v>1138</v>
      </c>
      <c r="B46" s="1270"/>
      <c r="C46" s="1271"/>
      <c r="D46" s="1272"/>
      <c r="E46" s="466" t="e">
        <f>('Income Statement'!G22+'Input Sheet'!C71)/'Input Sheet'!C38</f>
        <v>#DIV/0!</v>
      </c>
      <c r="G46" s="65"/>
    </row>
    <row r="47" spans="1:7" s="391" customFormat="1" x14ac:dyDescent="0.25">
      <c r="A47" s="402" t="s">
        <v>1139</v>
      </c>
      <c r="B47" s="1270"/>
      <c r="C47" s="1271"/>
      <c r="D47" s="1272"/>
      <c r="E47" s="466" t="e">
        <f>('Income Statement'!G22+'Input Sheet'!C71)/'Cost of Production Summary'!F4</f>
        <v>#VALUE!</v>
      </c>
      <c r="G47" s="65"/>
    </row>
    <row r="48" spans="1:7" ht="28.5" customHeight="1" x14ac:dyDescent="0.25"/>
    <row r="49" spans="1:27" x14ac:dyDescent="0.25">
      <c r="A49" s="259" t="s">
        <v>416</v>
      </c>
      <c r="B49" s="259" t="s">
        <v>417</v>
      </c>
      <c r="C49" s="259" t="s">
        <v>418</v>
      </c>
      <c r="D49" s="259" t="s">
        <v>419</v>
      </c>
      <c r="E49" s="312">
        <f>'Input Sheet'!C4</f>
        <v>0</v>
      </c>
      <c r="F49" s="204"/>
      <c r="X49" s="1"/>
      <c r="Y49" s="1"/>
      <c r="Z49" s="1"/>
      <c r="AA49" s="1"/>
    </row>
    <row r="50" spans="1:27" x14ac:dyDescent="0.25">
      <c r="A50" s="255" t="s">
        <v>209</v>
      </c>
      <c r="B50" s="251" t="s">
        <v>215</v>
      </c>
      <c r="C50" s="251" t="s">
        <v>420</v>
      </c>
      <c r="D50" s="260" t="s">
        <v>212</v>
      </c>
      <c r="E50" s="389" t="e">
        <f>'Ratio Analysis'!G10</f>
        <v>#DIV/0!</v>
      </c>
      <c r="F50" s="204"/>
    </row>
    <row r="51" spans="1:27" x14ac:dyDescent="0.25">
      <c r="A51" s="255" t="s">
        <v>421</v>
      </c>
      <c r="B51" s="251" t="s">
        <v>304</v>
      </c>
      <c r="C51" s="251" t="s">
        <v>422</v>
      </c>
      <c r="D51" s="260" t="s">
        <v>423</v>
      </c>
      <c r="E51" s="389" t="e">
        <f>'Ratio Analysis'!G7</f>
        <v>#DIV/0!</v>
      </c>
      <c r="F51" s="204"/>
    </row>
    <row r="52" spans="1:27" x14ac:dyDescent="0.25">
      <c r="A52" s="255" t="s">
        <v>424</v>
      </c>
      <c r="B52" s="251" t="s">
        <v>304</v>
      </c>
      <c r="C52" s="251" t="s">
        <v>772</v>
      </c>
      <c r="D52" s="260" t="s">
        <v>323</v>
      </c>
      <c r="E52" s="389" t="e">
        <f>'Ratio Analysis'!G8</f>
        <v>#DIV/0!</v>
      </c>
      <c r="F52" s="204"/>
    </row>
    <row r="53" spans="1:27" s="391" customFormat="1" x14ac:dyDescent="0.25">
      <c r="A53" s="506" t="s">
        <v>1124</v>
      </c>
      <c r="B53" s="403" t="s">
        <v>390</v>
      </c>
      <c r="C53" s="513" t="s">
        <v>771</v>
      </c>
      <c r="D53" s="260" t="s">
        <v>501</v>
      </c>
      <c r="E53" s="1345" t="e">
        <f>('Balance Sheets'!I15-'Balance Sheets'!I47)/'Repayment &amp; Replacement'!D17</f>
        <v>#DIV/0!</v>
      </c>
    </row>
    <row r="54" spans="1:27" x14ac:dyDescent="0.25">
      <c r="A54" s="255" t="s">
        <v>425</v>
      </c>
      <c r="B54" s="251" t="s">
        <v>426</v>
      </c>
      <c r="C54" s="251" t="s">
        <v>427</v>
      </c>
      <c r="D54" s="260" t="s">
        <v>428</v>
      </c>
      <c r="E54" s="314" t="e">
        <f>'Ratio Analysis'!G20*100</f>
        <v>#DIV/0!</v>
      </c>
      <c r="F54" s="204"/>
    </row>
    <row r="55" spans="1:27" ht="17.25" x14ac:dyDescent="0.25">
      <c r="A55" s="255" t="s">
        <v>657</v>
      </c>
      <c r="B55" s="251" t="s">
        <v>429</v>
      </c>
      <c r="C55" s="251" t="s">
        <v>430</v>
      </c>
      <c r="D55" s="260" t="s">
        <v>431</v>
      </c>
      <c r="E55" s="315" t="str">
        <f>IF('Ratio Analysis'!G37&lt;0,('Ratio Analysis'!G6/-'Ratio Analysis'!G37),"NA")</f>
        <v>NA</v>
      </c>
      <c r="F55" s="204"/>
      <c r="L55" s="38"/>
    </row>
    <row r="56" spans="1:27" ht="17.25" x14ac:dyDescent="0.25">
      <c r="A56" s="316" t="s">
        <v>658</v>
      </c>
      <c r="B56" s="261" t="s">
        <v>432</v>
      </c>
      <c r="C56" s="261" t="s">
        <v>433</v>
      </c>
      <c r="D56" s="262" t="s">
        <v>434</v>
      </c>
      <c r="E56" s="315" t="e">
        <f>'Ratio Analysis'!G6/'Repayment &amp; Replacement'!D17</f>
        <v>#DIV/0!</v>
      </c>
      <c r="F56" s="204"/>
    </row>
    <row r="57" spans="1:27" x14ac:dyDescent="0.25">
      <c r="A57" s="255" t="s">
        <v>435</v>
      </c>
      <c r="B57" s="251" t="s">
        <v>340</v>
      </c>
      <c r="C57" s="251" t="s">
        <v>436</v>
      </c>
      <c r="D57" s="260" t="s">
        <v>437</v>
      </c>
      <c r="E57" s="317" t="e">
        <f>'Balance Sheets'!G7/'Balance Sheets'!G15</f>
        <v>#DIV/0!</v>
      </c>
      <c r="F57" s="256"/>
    </row>
    <row r="58" spans="1:27" ht="17.25" x14ac:dyDescent="0.25">
      <c r="A58" s="255" t="s">
        <v>659</v>
      </c>
      <c r="B58" s="251" t="s">
        <v>438</v>
      </c>
      <c r="C58" s="251" t="s">
        <v>439</v>
      </c>
      <c r="D58" s="260" t="s">
        <v>440</v>
      </c>
      <c r="E58" s="318" t="e">
        <f>'Balance Sheets'!F76/'Income Statement'!G74</f>
        <v>#DIV/0!</v>
      </c>
      <c r="F58" s="256"/>
    </row>
    <row r="59" spans="1:27" x14ac:dyDescent="0.25">
      <c r="A59" s="255" t="s">
        <v>441</v>
      </c>
      <c r="B59" s="251" t="s">
        <v>304</v>
      </c>
      <c r="C59" s="251" t="s">
        <v>442</v>
      </c>
      <c r="D59" s="260" t="s">
        <v>323</v>
      </c>
      <c r="E59" s="313" t="e">
        <f>'Income Statement'!G74/'Income Statement'!G19</f>
        <v>#DIV/0!</v>
      </c>
      <c r="F59" s="256"/>
    </row>
    <row r="60" spans="1:27" x14ac:dyDescent="0.25">
      <c r="A60" s="255" t="s">
        <v>611</v>
      </c>
      <c r="B60" s="251" t="s">
        <v>323</v>
      </c>
      <c r="C60" s="251" t="s">
        <v>443</v>
      </c>
      <c r="D60" s="260" t="s">
        <v>321</v>
      </c>
      <c r="E60" s="313" t="e">
        <f>IF('Input Sheet'!C70-(('Input Sheet'!C67*25000)+(0.05*'Income Statement'!G19))&gt;0,('Input Sheet'!C64+(('Input Sheet'!C67*25000)+(0.05*'Income Statement'!G19)))/'Income Statement'!G74,'Input Sheet'!C64/'Income Statement'!G74)</f>
        <v>#DIV/0!</v>
      </c>
      <c r="F60" s="256"/>
    </row>
    <row r="61" spans="1:27" ht="31.5" customHeight="1" x14ac:dyDescent="0.25">
      <c r="A61" s="204"/>
      <c r="B61" s="294"/>
      <c r="C61" s="294"/>
      <c r="D61" s="294"/>
      <c r="E61" s="310"/>
      <c r="F61" s="204"/>
      <c r="K61" s="310"/>
      <c r="L61" s="310"/>
      <c r="M61" s="310"/>
    </row>
    <row r="62" spans="1:27" s="372" customFormat="1" ht="58.9" customHeight="1" x14ac:dyDescent="0.25">
      <c r="A62" s="1728" t="s">
        <v>663</v>
      </c>
      <c r="B62" s="1728"/>
      <c r="C62" s="1728"/>
      <c r="D62" s="1728"/>
      <c r="E62" s="1728"/>
      <c r="K62" s="310"/>
      <c r="L62" s="310"/>
      <c r="M62" s="310"/>
    </row>
    <row r="63" spans="1:27" x14ac:dyDescent="0.25">
      <c r="A63" s="401" t="s">
        <v>599</v>
      </c>
      <c r="B63" s="319" t="e">
        <f>'Balance Sheets'!G58/'Income Statement'!G74</f>
        <v>#DIV/0!</v>
      </c>
      <c r="C63" s="12" t="e">
        <f>IF(AND($B$63&gt;=0,$B$63&lt;=0.5),"------&gt;"," ")</f>
        <v>#DIV/0!</v>
      </c>
      <c r="D63" s="401" t="s">
        <v>444</v>
      </c>
      <c r="E63" s="403" t="s">
        <v>445</v>
      </c>
      <c r="F63" s="203"/>
    </row>
    <row r="64" spans="1:27" x14ac:dyDescent="0.25">
      <c r="A64" s="256"/>
      <c r="B64" s="203"/>
      <c r="C64" s="12" t="e">
        <f>IF(AND($B$63&gt;=0.51,$B$63&lt;=1),"------&gt;"," ")</f>
        <v>#DIV/0!</v>
      </c>
      <c r="D64" s="401" t="s">
        <v>444</v>
      </c>
      <c r="E64" s="403" t="s">
        <v>446</v>
      </c>
      <c r="F64" s="203"/>
    </row>
    <row r="65" spans="1:9" ht="14.65" customHeight="1" x14ac:dyDescent="0.25">
      <c r="A65" s="410"/>
      <c r="B65" s="411"/>
      <c r="C65" s="12" t="e">
        <f>IF(AND($B$63&gt;=1.01,$B$63&lt;=2),"------&gt;"," ")</f>
        <v>#DIV/0!</v>
      </c>
      <c r="D65" s="401" t="s">
        <v>444</v>
      </c>
      <c r="E65" s="403" t="s">
        <v>447</v>
      </c>
      <c r="F65" s="371"/>
    </row>
    <row r="66" spans="1:9" x14ac:dyDescent="0.25">
      <c r="A66" s="256"/>
      <c r="B66" s="203"/>
      <c r="C66" s="12" t="e">
        <f>IF(AND($B$63&gt;=2.01,$B$63&lt;=3),"------&gt;"," ")</f>
        <v>#DIV/0!</v>
      </c>
      <c r="D66" s="401" t="s">
        <v>448</v>
      </c>
      <c r="E66" s="403" t="s">
        <v>449</v>
      </c>
      <c r="F66" s="204"/>
    </row>
    <row r="67" spans="1:9" x14ac:dyDescent="0.25">
      <c r="A67" s="256"/>
      <c r="B67" s="203"/>
      <c r="C67" s="12" t="e">
        <f>IF(AND($B$63&gt;=3.01,$B$63&lt;=4),"------&gt;"," ")</f>
        <v>#DIV/0!</v>
      </c>
      <c r="D67" s="401" t="s">
        <v>450</v>
      </c>
      <c r="E67" s="403" t="s">
        <v>451</v>
      </c>
      <c r="F67" s="204"/>
    </row>
    <row r="68" spans="1:9" x14ac:dyDescent="0.25">
      <c r="A68" s="256"/>
      <c r="B68" s="203"/>
      <c r="C68" s="12" t="e">
        <f>IF(AND($B$63&gt;=4.01,$B$63&lt;=6),"------&gt;"," ")</f>
        <v>#DIV/0!</v>
      </c>
      <c r="D68" s="401" t="s">
        <v>71</v>
      </c>
      <c r="E68" s="403" t="s">
        <v>452</v>
      </c>
      <c r="F68" s="204"/>
    </row>
    <row r="69" spans="1:9" x14ac:dyDescent="0.25">
      <c r="A69" s="256"/>
      <c r="B69" s="203"/>
      <c r="C69" s="12" t="e">
        <f>IF(AND($B$63&gt;=6.01,$B$63&lt;=8),"------&gt;"," ")</f>
        <v>#DIV/0!</v>
      </c>
      <c r="D69" s="401" t="s">
        <v>453</v>
      </c>
      <c r="E69" s="403" t="s">
        <v>454</v>
      </c>
      <c r="F69" s="204"/>
    </row>
    <row r="70" spans="1:9" x14ac:dyDescent="0.25">
      <c r="A70" s="245"/>
      <c r="B70" s="373"/>
      <c r="C70" s="412" t="e">
        <f>IF($B$63&gt;8,"------&gt;"," ")</f>
        <v>#DIV/0!</v>
      </c>
      <c r="D70" s="401" t="s">
        <v>455</v>
      </c>
      <c r="E70" s="403" t="s">
        <v>456</v>
      </c>
      <c r="F70" s="204"/>
    </row>
    <row r="71" spans="1:9" s="372" customFormat="1" x14ac:dyDescent="0.25">
      <c r="D71" s="203"/>
      <c r="E71" s="390"/>
    </row>
    <row r="72" spans="1:9" x14ac:dyDescent="0.25">
      <c r="A72" s="322" t="s">
        <v>600</v>
      </c>
      <c r="B72" s="204"/>
      <c r="C72" s="204"/>
      <c r="D72" s="204"/>
      <c r="E72" s="204"/>
      <c r="F72" s="204"/>
    </row>
    <row r="73" spans="1:9" s="391" customFormat="1" ht="151.9" customHeight="1" x14ac:dyDescent="0.25">
      <c r="A73" s="1723" t="s">
        <v>702</v>
      </c>
      <c r="B73" s="1723"/>
      <c r="C73" s="1723"/>
      <c r="D73" s="1723"/>
      <c r="E73" s="1723"/>
      <c r="F73" s="1723"/>
      <c r="G73" s="1723"/>
      <c r="H73" s="1723"/>
    </row>
    <row r="74" spans="1:9" ht="17.25" x14ac:dyDescent="0.25">
      <c r="A74" s="1729" t="s">
        <v>656</v>
      </c>
      <c r="B74" s="1729"/>
      <c r="C74" s="1729"/>
      <c r="D74" s="1729"/>
      <c r="E74" s="1729"/>
      <c r="F74" s="1729"/>
      <c r="G74" s="1729"/>
      <c r="H74" s="1729"/>
      <c r="I74" s="1729"/>
    </row>
    <row r="75" spans="1:9" ht="39" customHeight="1" x14ac:dyDescent="0.25">
      <c r="A75" s="1723" t="s">
        <v>660</v>
      </c>
      <c r="B75" s="1723"/>
      <c r="C75" s="1723"/>
      <c r="D75" s="1723"/>
      <c r="E75" s="1723"/>
      <c r="F75" s="1723"/>
    </row>
    <row r="76" spans="1:9" ht="34.5" customHeight="1" x14ac:dyDescent="0.25">
      <c r="A76" s="1723" t="s">
        <v>661</v>
      </c>
      <c r="B76" s="1723"/>
      <c r="C76" s="1723"/>
      <c r="D76" s="1723"/>
      <c r="E76" s="1723"/>
      <c r="F76" s="1723"/>
    </row>
    <row r="77" spans="1:9" ht="34.15" customHeight="1" x14ac:dyDescent="0.25">
      <c r="A77" s="1723" t="s">
        <v>662</v>
      </c>
      <c r="B77" s="1723"/>
      <c r="C77" s="1723"/>
      <c r="D77" s="1723"/>
      <c r="E77" s="1723"/>
      <c r="F77" s="1723"/>
    </row>
  </sheetData>
  <mergeCells count="12">
    <mergeCell ref="F1:G1"/>
    <mergeCell ref="A73:H73"/>
    <mergeCell ref="A75:F75"/>
    <mergeCell ref="A76:F76"/>
    <mergeCell ref="A77:F77"/>
    <mergeCell ref="B42:B44"/>
    <mergeCell ref="C42:C44"/>
    <mergeCell ref="D42:D44"/>
    <mergeCell ref="A62:E62"/>
    <mergeCell ref="A74:I74"/>
    <mergeCell ref="B32:D32"/>
    <mergeCell ref="B33:D33"/>
  </mergeCells>
  <phoneticPr fontId="39" type="noConversion"/>
  <pageMargins left="0.7" right="0.7" top="0.75" bottom="0.75" header="0.3" footer="0.3"/>
  <pageSetup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Title</vt:lpstr>
      <vt:lpstr>Input Sheet</vt:lpstr>
      <vt:lpstr>Balance Sheets</vt:lpstr>
      <vt:lpstr>BS Schedules</vt:lpstr>
      <vt:lpstr>Income Statement</vt:lpstr>
      <vt:lpstr>IS Schedules</vt:lpstr>
      <vt:lpstr>Ratio Analysis</vt:lpstr>
      <vt:lpstr>Repayment &amp; Replacement</vt:lpstr>
      <vt:lpstr>Additional Ratios</vt:lpstr>
      <vt:lpstr>DuPont</vt:lpstr>
      <vt:lpstr>Estimating Costs of Production</vt:lpstr>
      <vt:lpstr>Cost of Production Summary</vt:lpstr>
      <vt:lpstr>Depreciation Schedule</vt:lpstr>
      <vt:lpstr>Breakeven Sensitivity</vt:lpstr>
      <vt:lpstr>Statement of Cash Flows</vt:lpstr>
      <vt:lpstr>Statement of Owner Equity</vt:lpstr>
      <vt:lpstr>Capital Lease Schedule</vt:lpstr>
      <vt:lpstr>Deferred Taxes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Michelle Bachand</cp:lastModifiedBy>
  <cp:lastPrinted>2022-12-29T17:26:40Z</cp:lastPrinted>
  <dcterms:created xsi:type="dcterms:W3CDTF">2010-11-26T14:09:11Z</dcterms:created>
  <dcterms:modified xsi:type="dcterms:W3CDTF">2023-01-31T14:20:04Z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f00cb3-7a5d-4674-b157-6d675423df49_Enabled">
    <vt:lpwstr>true</vt:lpwstr>
  </property>
  <property fmtid="{D5CDD505-2E9C-101B-9397-08002B2CF9AE}" pid="3" name="MSIP_Label_0cf00cb3-7a5d-4674-b157-6d675423df49_SetDate">
    <vt:lpwstr>2022-06-08T13:52:38Z</vt:lpwstr>
  </property>
  <property fmtid="{D5CDD505-2E9C-101B-9397-08002B2CF9AE}" pid="4" name="MSIP_Label_0cf00cb3-7a5d-4674-b157-6d675423df49_Method">
    <vt:lpwstr>Standard</vt:lpwstr>
  </property>
  <property fmtid="{D5CDD505-2E9C-101B-9397-08002B2CF9AE}" pid="5" name="MSIP_Label_0cf00cb3-7a5d-4674-b157-6d675423df49_Name">
    <vt:lpwstr>Internal</vt:lpwstr>
  </property>
  <property fmtid="{D5CDD505-2E9C-101B-9397-08002B2CF9AE}" pid="6" name="MSIP_Label_0cf00cb3-7a5d-4674-b157-6d675423df49_SiteId">
    <vt:lpwstr>ece76e02-a02b-4c4a-906d-98a34c5ce07a</vt:lpwstr>
  </property>
  <property fmtid="{D5CDD505-2E9C-101B-9397-08002B2CF9AE}" pid="7" name="MSIP_Label_0cf00cb3-7a5d-4674-b157-6d675423df49_ActionId">
    <vt:lpwstr>ad8a039e-63cd-43b3-802e-9c8d7f3b1870</vt:lpwstr>
  </property>
  <property fmtid="{D5CDD505-2E9C-101B-9397-08002B2CF9AE}" pid="8" name="MSIP_Label_0cf00cb3-7a5d-4674-b157-6d675423df49_ContentBits">
    <vt:lpwstr>0</vt:lpwstr>
  </property>
</Properties>
</file>