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<sst xmlns="http://schemas.openxmlformats.org/spreadsheetml/2006/main" count="285" uniqueCount="130">
  <si>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</si>
  <si>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</si>
  <si>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</si>
  <si>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</si>
  <si>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</si>
  <si>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</si>
  <si>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</si>
  <si>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</si>
  <si>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</si>
  <si>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</si>
  <si>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</si>
  <si>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</si>
  <si>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</si>
  <si>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</si>
  <si>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</si>
  <si>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</si>
  <si>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</si>
  <si>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</si>
  <si>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</si>
  <si>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</si>
  <si>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</si>
  <si>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</si>
  <si>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</si>
  <si>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</si>
  <si>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</si>
  <si>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</si>
  <si>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</si>
  <si>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</si>
  <si>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</si>
  <si>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</si>
  <si>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</si>
  <si>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</si>
  <si>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</si>
  <si>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</si>
  <si>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</si>
  <si>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</si>
  <si>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</si>
  <si>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</si>
  <si>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</si>
  <si>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</si>
  <si>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</si>
  <si>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</si>
  <si>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</si>
  <si>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</si>
  <si>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</si>
  <si>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</si>
  <si>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</si>
  <si>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</si>
  <si>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</si>
  <si>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</si>
  <si>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</si>
  <si>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</si>
  <si>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</si>
  <si>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</si>
  <si>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</si>
  <si>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</si>
  <si>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</si>
  <si>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</si>
  <si>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</si>
  <si>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</si>
  <si>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</si>
  <si>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</si>
  <si>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</si>
  <si>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</si>
  <si>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</si>
  <si>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</si>
  <si>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</si>
  <si>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</si>
  <si>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</si>
  <si>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</si>
  <si>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</si>
  <si>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</si>
  <si>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</si>
  <si>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</si>
  <si>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</si>
  <si>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</si>
  <si>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</si>
  <si>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</si>
  <si>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</si>
  <si>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</si>
  <si>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</si>
  <si>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</si>
  <si>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</si>
  <si>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</si>
  <si>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</si>
  <si>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Hand marketing</t>
  </si>
  <si>
    <t>Marketing</t>
  </si>
  <si>
    <t xml:space="preserve">   Natural gas - 1000 cubic feet</t>
  </si>
  <si>
    <t>cu. ft.</t>
  </si>
  <si>
    <t>None</t>
  </si>
  <si>
    <t>lb</t>
  </si>
  <si>
    <t>$ per lb</t>
  </si>
  <si>
    <t xml:space="preserve">Amount per </t>
  </si>
  <si>
    <t>per Acre</t>
  </si>
  <si>
    <t>($/unit)</t>
  </si>
  <si>
    <t>Fertilizer spreading</t>
  </si>
  <si>
    <t>$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</si>
  <si>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</si>
  <si>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</si>
  <si>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</si>
  <si>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</si>
  <si>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</si>
  <si>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</si>
  <si>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</si>
  <si>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</si>
  <si>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</si>
  <si>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</si>
  <si>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</si>
  <si>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2-row cultivator</t>
  </si>
  <si>
    <t>Tractor 024 HP</t>
  </si>
  <si>
    <t xml:space="preserve">Cost per </t>
  </si>
  <si>
    <t>(Enter % in J85)</t>
  </si>
  <si>
    <t>2-row precision seeder</t>
  </si>
  <si>
    <t>100 ft Row ($)</t>
  </si>
  <si>
    <t>Management charge (enter % of income in J97)</t>
  </si>
  <si>
    <t>(per 100 ft Row)</t>
  </si>
  <si>
    <t>100 ft Row</t>
  </si>
  <si>
    <t>Beet</t>
  </si>
  <si>
    <t xml:space="preserve">Beet seed  </t>
  </si>
  <si>
    <t>Multipurpose digger 24 in</t>
  </si>
  <si>
    <t>Total Operating Costs per Unit of Production</t>
  </si>
  <si>
    <r>
      <t>1</t>
    </r>
    <r>
      <rPr>
        <sz val="10"/>
        <rFont val="Arial"/>
        <family val="2"/>
      </rPr>
      <t xml:space="preserve"> Durables include a 8 ft X 14 ft cooler.</t>
    </r>
  </si>
  <si>
    <r>
      <t>Custom Rate Charges</t>
    </r>
    <r>
      <rPr>
        <vertAlign val="superscript"/>
        <sz val="10"/>
        <rFont val="Arial"/>
        <family val="2"/>
      </rPr>
      <t>2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</si>
  <si>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</si>
  <si>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</si>
  <si>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</si>
  <si>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</si>
  <si>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</si>
  <si>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Beet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</si>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</sst>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,##0.000"/>
    <numFmt numFmtId="176" formatCode="###0;###0"/>
    <numFmt numFmtId="177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75" fontId="0" fillId="0" borderId="18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135</xdr:row>
      <xdr:rowOff>9525</xdr:rowOff>
    </xdr:from>
    <xdr:to>
      <xdr:col>7</xdr:col>
      <xdr:colOff>914400</xdr:colOff>
      <xdr:row>143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2155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27</xdr:row>
      <xdr:rowOff>133350</xdr:rowOff>
    </xdr:from>
    <xdr:to>
      <xdr:col>5</xdr:col>
      <xdr:colOff>266700</xdr:colOff>
      <xdr:row>37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5815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3"/>
  <sheetViews>
    <sheetView tabSelected="1" zoomScale="70" zoomScaleNormal="70" zoomScaleSheetLayoutView="75" zoomScalePageLayoutView="0" workbookViewId="0" topLeftCell="A46">
      <selection activeCell="P20" sqref="P20"/>
    </sheetView>
  </sheetViews>
  <sheetFormatPr defaultColWidth="9.140625" defaultRowHeight="12.75"/>
  <cols>
    <col min="1" max="1" width="36.574218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1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128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5"/>
      <c r="H14" s="124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12" t="s">
        <v>92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93</v>
      </c>
      <c r="D16" s="22" t="s">
        <v>94</v>
      </c>
      <c r="E16" s="34" t="s">
        <v>6</v>
      </c>
      <c r="F16" s="53" t="s">
        <v>113</v>
      </c>
      <c r="G16" s="26"/>
      <c r="H16" s="25"/>
      <c r="I16" s="22"/>
      <c r="J16" s="22"/>
      <c r="K16" s="22" t="s">
        <v>94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117</v>
      </c>
      <c r="B20" s="36" t="s">
        <v>90</v>
      </c>
      <c r="C20" s="108">
        <v>32080</v>
      </c>
      <c r="D20" s="39">
        <v>0.34</v>
      </c>
      <c r="E20" s="107">
        <f>(C20*D20)</f>
        <v>10907.2</v>
      </c>
      <c r="F20" s="40">
        <f>(E20*0.0034)</f>
        <v>37.08448</v>
      </c>
      <c r="G20" s="28"/>
      <c r="H20" s="35" t="s">
        <v>117</v>
      </c>
      <c r="I20" s="36" t="s">
        <v>90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10907.2</v>
      </c>
      <c r="F22" s="107">
        <f>SUM(F20:F21)</f>
        <v>37.08448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118</v>
      </c>
      <c r="B29" s="36" t="s">
        <v>90</v>
      </c>
      <c r="C29" s="39">
        <v>8.51</v>
      </c>
      <c r="D29" s="39">
        <v>19.16</v>
      </c>
      <c r="E29" s="40">
        <f>(C29*D29)</f>
        <v>163.0516</v>
      </c>
      <c r="F29" s="40">
        <f>(E29*0.0034)</f>
        <v>0.5543754399999999</v>
      </c>
      <c r="G29" s="28"/>
      <c r="H29" s="41" t="s">
        <v>118</v>
      </c>
      <c r="I29" s="36" t="s">
        <v>90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200</v>
      </c>
      <c r="D32" s="45">
        <v>0.24</v>
      </c>
      <c r="E32" s="40">
        <f>(C32*D32)</f>
        <v>48</v>
      </c>
      <c r="F32" s="40">
        <f>(E32*0.0034)</f>
        <v>0.16319999999999998</v>
      </c>
      <c r="G32" s="28"/>
      <c r="H32" s="4" t="s">
        <v>59</v>
      </c>
      <c r="I32" s="16" t="s">
        <v>58</v>
      </c>
      <c r="J32" s="30"/>
      <c r="K32" s="30"/>
      <c r="L32" s="3">
        <f>(J32*K32)</f>
        <v>0</v>
      </c>
    </row>
    <row r="33" spans="1:12" ht="12.75" customHeight="1">
      <c r="A33" s="41" t="s">
        <v>100</v>
      </c>
      <c r="B33" s="44" t="s">
        <v>58</v>
      </c>
      <c r="C33" s="45">
        <v>55</v>
      </c>
      <c r="D33" s="45">
        <v>0.27</v>
      </c>
      <c r="E33" s="40">
        <f>(C33*D33)</f>
        <v>14.850000000000001</v>
      </c>
      <c r="F33" s="40">
        <f>(E33*0.0034)</f>
        <v>0.05049</v>
      </c>
      <c r="G33" s="28"/>
      <c r="H33" s="4" t="s">
        <v>37</v>
      </c>
      <c r="I33" s="16" t="s">
        <v>58</v>
      </c>
      <c r="J33" s="30"/>
      <c r="K33" s="30"/>
      <c r="L33" s="3">
        <f>(J33*K33)</f>
        <v>0</v>
      </c>
    </row>
    <row r="34" spans="1:12" ht="12.75" customHeight="1">
      <c r="A34" s="41" t="s">
        <v>60</v>
      </c>
      <c r="B34" s="44" t="s">
        <v>58</v>
      </c>
      <c r="C34" s="45">
        <v>235</v>
      </c>
      <c r="D34" s="45">
        <v>0.22</v>
      </c>
      <c r="E34" s="40">
        <f>(C34*D34)</f>
        <v>51.7</v>
      </c>
      <c r="F34" s="40">
        <f>(E34*0.0034)</f>
        <v>0.17578</v>
      </c>
      <c r="G34" s="28"/>
      <c r="H34" s="4" t="s">
        <v>60</v>
      </c>
      <c r="I34" s="16" t="s">
        <v>58</v>
      </c>
      <c r="J34" s="30"/>
      <c r="K34" s="30"/>
      <c r="L34" s="3">
        <f>(J34*K34)</f>
        <v>0</v>
      </c>
    </row>
    <row r="35" spans="1:12" ht="12.75">
      <c r="A35" s="41" t="s">
        <v>84</v>
      </c>
      <c r="B35" s="36" t="s">
        <v>1</v>
      </c>
      <c r="C35" s="39">
        <v>2</v>
      </c>
      <c r="D35" s="39">
        <v>2</v>
      </c>
      <c r="E35" s="40">
        <f>(C35*D35)</f>
        <v>4</v>
      </c>
      <c r="F35" s="40">
        <f>(E35*0.0034)</f>
        <v>0.0136</v>
      </c>
      <c r="G35" s="28"/>
      <c r="H35" s="4" t="s">
        <v>95</v>
      </c>
      <c r="I35" s="2" t="s">
        <v>96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89</v>
      </c>
      <c r="B39" s="36"/>
      <c r="C39" s="39">
        <v>0</v>
      </c>
      <c r="D39" s="39">
        <v>0</v>
      </c>
      <c r="E39" s="40">
        <f>(C39*D39)</f>
        <v>0</v>
      </c>
      <c r="F39" s="40">
        <f>(E39*0.0034)</f>
        <v>0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41"/>
      <c r="B40" s="36"/>
      <c r="C40" s="39"/>
      <c r="D40" s="39"/>
      <c r="E40" s="40"/>
      <c r="F40" s="40"/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3"/>
      <c r="B42" s="36"/>
      <c r="C42" s="39"/>
      <c r="D42" s="39"/>
      <c r="E42" s="40"/>
      <c r="F42" s="40"/>
      <c r="G42" s="28"/>
      <c r="H42" s="5"/>
      <c r="I42" s="2"/>
      <c r="J42" s="3"/>
      <c r="K42" s="3"/>
      <c r="L42" s="3"/>
    </row>
    <row r="43" spans="1:12" ht="12.75">
      <c r="A43" s="43" t="s">
        <v>40</v>
      </c>
      <c r="B43" s="36"/>
      <c r="C43" s="39"/>
      <c r="D43" s="39"/>
      <c r="E43" s="40"/>
      <c r="F43" s="40"/>
      <c r="G43" s="28"/>
      <c r="H43" s="5" t="s">
        <v>40</v>
      </c>
      <c r="I43" s="2"/>
      <c r="J43" s="3"/>
      <c r="K43" s="3"/>
      <c r="L43" s="3"/>
    </row>
    <row r="44" spans="1:12" ht="12.75">
      <c r="A44" s="41" t="s">
        <v>89</v>
      </c>
      <c r="B44" s="36"/>
      <c r="C44" s="39">
        <v>0</v>
      </c>
      <c r="D44" s="39">
        <v>0</v>
      </c>
      <c r="E44" s="40">
        <f>(C44*D44)</f>
        <v>0</v>
      </c>
      <c r="F44" s="40">
        <f>(E44*0.0034)</f>
        <v>0</v>
      </c>
      <c r="G44" s="28"/>
      <c r="H44" s="30"/>
      <c r="I44" s="30"/>
      <c r="J44" s="30"/>
      <c r="K44" s="30"/>
      <c r="L44" s="3">
        <f>(J44*K44)</f>
        <v>0</v>
      </c>
    </row>
    <row r="45" spans="1:12" ht="12.75">
      <c r="A45" s="41"/>
      <c r="B45" s="36"/>
      <c r="C45" s="39"/>
      <c r="D45" s="39"/>
      <c r="E45" s="40"/>
      <c r="F45" s="40"/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57"/>
      <c r="I47" s="57"/>
      <c r="J47" s="57"/>
      <c r="K47" s="57"/>
      <c r="L47" s="3"/>
    </row>
    <row r="48" spans="1:12" ht="12.75">
      <c r="A48" s="43" t="s">
        <v>69</v>
      </c>
      <c r="B48" s="36"/>
      <c r="C48" s="39"/>
      <c r="D48" s="39"/>
      <c r="E48" s="40"/>
      <c r="F48" s="40"/>
      <c r="G48" s="28"/>
      <c r="H48" s="5" t="s">
        <v>69</v>
      </c>
      <c r="I48" s="2"/>
      <c r="J48" s="3"/>
      <c r="K48" s="3"/>
      <c r="L48" s="3"/>
    </row>
    <row r="49" spans="1:12" ht="12.75">
      <c r="A49" s="41" t="s">
        <v>89</v>
      </c>
      <c r="B49" s="36"/>
      <c r="C49" s="39">
        <v>0</v>
      </c>
      <c r="D49" s="39">
        <v>0</v>
      </c>
      <c r="E49" s="40">
        <f>(C49*D49)</f>
        <v>0</v>
      </c>
      <c r="F49" s="40">
        <f>(E49*0.0034)</f>
        <v>0</v>
      </c>
      <c r="G49" s="28"/>
      <c r="H49" s="30"/>
      <c r="I49" s="30"/>
      <c r="J49" s="30"/>
      <c r="K49" s="30"/>
      <c r="L49" s="3">
        <f>(J49*K49)</f>
        <v>0</v>
      </c>
    </row>
    <row r="50" spans="1:12" ht="12.75">
      <c r="A50" s="41"/>
      <c r="B50" s="36"/>
      <c r="C50" s="39"/>
      <c r="D50" s="39"/>
      <c r="E50" s="40"/>
      <c r="F50" s="40"/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s="83" customFormat="1" ht="12.75">
      <c r="A52" s="111"/>
      <c r="B52" s="112"/>
      <c r="C52" s="113"/>
      <c r="D52" s="113"/>
      <c r="E52" s="46"/>
      <c r="F52" s="46"/>
      <c r="G52" s="114"/>
      <c r="H52" s="57"/>
      <c r="I52" s="57"/>
      <c r="J52" s="57"/>
      <c r="K52" s="57"/>
      <c r="L52" s="115"/>
    </row>
    <row r="53" spans="1:12" ht="12.75">
      <c r="A53" s="43" t="s">
        <v>98</v>
      </c>
      <c r="B53" s="36"/>
      <c r="C53" s="39"/>
      <c r="D53" s="39"/>
      <c r="E53" s="40"/>
      <c r="F53" s="40"/>
      <c r="G53" s="28"/>
      <c r="H53" s="5" t="s">
        <v>98</v>
      </c>
      <c r="I53" s="2"/>
      <c r="J53" s="3"/>
      <c r="K53" s="3"/>
      <c r="L53" s="3"/>
    </row>
    <row r="54" spans="1:12" ht="12.75">
      <c r="A54" s="43"/>
      <c r="B54" s="36"/>
      <c r="C54" s="39"/>
      <c r="D54" s="39"/>
      <c r="E54" s="40"/>
      <c r="F54" s="40"/>
      <c r="G54" s="28"/>
      <c r="H54" s="5"/>
      <c r="I54" s="2"/>
      <c r="J54" s="3"/>
      <c r="K54" s="3"/>
      <c r="L54" s="3"/>
    </row>
    <row r="55" spans="1:12" ht="12.75">
      <c r="A55" s="41" t="s">
        <v>89</v>
      </c>
      <c r="B55" s="36"/>
      <c r="C55" s="39">
        <v>0</v>
      </c>
      <c r="D55" s="39">
        <v>0</v>
      </c>
      <c r="E55" s="40">
        <f>(C55*D55)</f>
        <v>0</v>
      </c>
      <c r="F55" s="40">
        <f>(E55*0.0034)</f>
        <v>0</v>
      </c>
      <c r="G55" s="28"/>
      <c r="H55" s="30"/>
      <c r="I55" s="30"/>
      <c r="J55" s="30"/>
      <c r="K55" s="30"/>
      <c r="L55" s="3">
        <f>(J55*K55)</f>
        <v>0</v>
      </c>
    </row>
    <row r="56" spans="1:12" ht="12.75">
      <c r="A56" s="41"/>
      <c r="B56" s="36"/>
      <c r="C56" s="39"/>
      <c r="D56" s="56"/>
      <c r="E56" s="40"/>
      <c r="F56" s="40"/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83" customFormat="1" ht="12.75">
      <c r="A58" s="111"/>
      <c r="B58" s="112"/>
      <c r="C58" s="113"/>
      <c r="D58" s="113"/>
      <c r="E58" s="46"/>
      <c r="F58" s="46"/>
      <c r="G58" s="114"/>
      <c r="H58" s="122"/>
      <c r="I58" s="123"/>
      <c r="J58" s="123"/>
      <c r="K58" s="123"/>
      <c r="L58" s="115"/>
    </row>
    <row r="59" spans="1:12" s="83" customFormat="1" ht="12.75">
      <c r="A59" s="43" t="s">
        <v>99</v>
      </c>
      <c r="B59" s="112"/>
      <c r="C59" s="113"/>
      <c r="D59" s="113"/>
      <c r="E59" s="46"/>
      <c r="F59" s="46"/>
      <c r="G59" s="114"/>
      <c r="H59" s="43" t="s">
        <v>99</v>
      </c>
      <c r="I59" s="57"/>
      <c r="J59" s="57"/>
      <c r="K59" s="57"/>
      <c r="L59" s="115"/>
    </row>
    <row r="60" spans="1:12" ht="12.75">
      <c r="A60" s="41" t="s">
        <v>67</v>
      </c>
      <c r="B60" s="36" t="s">
        <v>63</v>
      </c>
      <c r="C60" s="39">
        <v>54</v>
      </c>
      <c r="D60" s="39">
        <v>10</v>
      </c>
      <c r="E60" s="40">
        <f>(C60*D60)</f>
        <v>540</v>
      </c>
      <c r="F60" s="40">
        <f>(E60*0.0034)</f>
        <v>1.8359999999999999</v>
      </c>
      <c r="G60" s="28"/>
      <c r="H60" s="41" t="s">
        <v>67</v>
      </c>
      <c r="I60" s="36" t="s">
        <v>63</v>
      </c>
      <c r="J60" s="30"/>
      <c r="K60" s="30"/>
      <c r="L60" s="3">
        <f>(J60*K60)</f>
        <v>0</v>
      </c>
    </row>
    <row r="61" spans="1:12" ht="12.75">
      <c r="A61" s="41" t="s">
        <v>62</v>
      </c>
      <c r="B61" s="36" t="s">
        <v>66</v>
      </c>
      <c r="C61" s="39">
        <v>12</v>
      </c>
      <c r="D61" s="39">
        <v>6.42</v>
      </c>
      <c r="E61" s="40">
        <f>(C61*D61)</f>
        <v>77.03999999999999</v>
      </c>
      <c r="F61" s="40">
        <f>(E61*0.0034)</f>
        <v>0.26193599999999995</v>
      </c>
      <c r="G61" s="28"/>
      <c r="H61" s="41" t="s">
        <v>62</v>
      </c>
      <c r="I61" s="36" t="s">
        <v>66</v>
      </c>
      <c r="J61" s="30"/>
      <c r="K61" s="30"/>
      <c r="L61" s="3">
        <f>(J61*K61)</f>
        <v>0</v>
      </c>
    </row>
    <row r="62" spans="1:12" ht="12.75">
      <c r="A62" s="41" t="s">
        <v>85</v>
      </c>
      <c r="B62" s="36" t="s">
        <v>63</v>
      </c>
      <c r="C62" s="39">
        <v>40</v>
      </c>
      <c r="D62" s="39">
        <v>10</v>
      </c>
      <c r="E62" s="40">
        <f>(C62*D62)</f>
        <v>400</v>
      </c>
      <c r="F62" s="40">
        <f>(E62*0.0034)</f>
        <v>1.3599999999999999</v>
      </c>
      <c r="G62" s="28"/>
      <c r="H62" s="41" t="s">
        <v>86</v>
      </c>
      <c r="I62" s="36" t="s">
        <v>63</v>
      </c>
      <c r="J62" s="30"/>
      <c r="K62" s="30"/>
      <c r="L62" s="3">
        <f>(J62*K62)</f>
        <v>0</v>
      </c>
    </row>
    <row r="63" spans="1:12" ht="12.75">
      <c r="A63" s="41" t="s">
        <v>64</v>
      </c>
      <c r="B63" s="36" t="s">
        <v>65</v>
      </c>
      <c r="C63" s="39">
        <v>500</v>
      </c>
      <c r="D63" s="56">
        <v>0.56</v>
      </c>
      <c r="E63" s="40">
        <f>(C63*D63)</f>
        <v>280</v>
      </c>
      <c r="F63" s="40">
        <f>(E63*0.0034)</f>
        <v>0.952</v>
      </c>
      <c r="G63" s="28"/>
      <c r="H63" s="41" t="s">
        <v>64</v>
      </c>
      <c r="I63" s="36" t="s">
        <v>65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70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(E66*0.0034)</f>
        <v>0</v>
      </c>
      <c r="G66" s="28"/>
      <c r="H66" s="5" t="s">
        <v>70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71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(E67*0.0034)</f>
        <v>0</v>
      </c>
      <c r="G67" s="28"/>
      <c r="H67" s="5" t="s">
        <v>71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7" t="s">
        <v>126</v>
      </c>
      <c r="B70" s="36" t="s">
        <v>68</v>
      </c>
      <c r="C70" s="39">
        <v>2.81</v>
      </c>
      <c r="D70" s="39">
        <v>3.52</v>
      </c>
      <c r="E70" s="40">
        <f>(C70*D70)</f>
        <v>9.8912</v>
      </c>
      <c r="F70" s="40">
        <f>(E70*0.0034)</f>
        <v>0.03363008</v>
      </c>
      <c r="G70" s="28"/>
      <c r="H70" s="5" t="s">
        <v>41</v>
      </c>
      <c r="I70" s="36" t="s">
        <v>68</v>
      </c>
      <c r="J70" s="30"/>
      <c r="K70" s="30"/>
      <c r="L70" s="3">
        <f>(J70*K70)</f>
        <v>0</v>
      </c>
    </row>
    <row r="71" spans="1:12" ht="12.75">
      <c r="A71" s="7" t="s">
        <v>127</v>
      </c>
      <c r="B71" s="36" t="s">
        <v>68</v>
      </c>
      <c r="C71" s="39">
        <v>9.73</v>
      </c>
      <c r="D71" s="39">
        <v>3.21</v>
      </c>
      <c r="E71" s="40">
        <f>(C71*D71)</f>
        <v>31.2333</v>
      </c>
      <c r="F71" s="40">
        <f>(E71*0.0034)</f>
        <v>0.10619321999999999</v>
      </c>
      <c r="G71" s="28"/>
      <c r="H71" s="5" t="s">
        <v>42</v>
      </c>
      <c r="I71" s="36" t="s">
        <v>68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622.67</v>
      </c>
      <c r="D72" s="56">
        <v>0.115</v>
      </c>
      <c r="E72" s="40">
        <f>(C72*D72)</f>
        <v>71.60705</v>
      </c>
      <c r="F72" s="40">
        <f>(E72*0.0034)</f>
        <v>0.24346397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87</v>
      </c>
      <c r="B73" s="36" t="s">
        <v>88</v>
      </c>
      <c r="C73" s="39">
        <v>0</v>
      </c>
      <c r="D73" s="116">
        <v>0</v>
      </c>
      <c r="E73" s="40">
        <f>(C73*D73)</f>
        <v>0</v>
      </c>
      <c r="F73" s="40">
        <f>(E73*0.0034)</f>
        <v>0</v>
      </c>
      <c r="G73" s="28"/>
      <c r="H73" s="43" t="s">
        <v>87</v>
      </c>
      <c r="I73" s="36" t="s">
        <v>88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6.1686749999999995</v>
      </c>
      <c r="E74" s="40">
        <f>(C74*D74)</f>
        <v>6.1686749999999995</v>
      </c>
      <c r="F74" s="40">
        <f>(E74*0.0034)</f>
        <v>0.020973494999999998</v>
      </c>
      <c r="G74" s="28"/>
      <c r="H74" s="5" t="s">
        <v>16</v>
      </c>
      <c r="I74" s="2" t="s">
        <v>96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5.29</v>
      </c>
      <c r="E77" s="40">
        <f>(C77*D77)</f>
        <v>5.29</v>
      </c>
      <c r="F77" s="40">
        <f>(E77*0.0034)</f>
        <v>0.017986</v>
      </c>
      <c r="G77" s="28"/>
      <c r="H77" s="5" t="s">
        <v>46</v>
      </c>
      <c r="I77" s="2" t="s">
        <v>96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3.7</v>
      </c>
      <c r="E78" s="40">
        <f>(C78*D78)</f>
        <v>3.7</v>
      </c>
      <c r="F78" s="40">
        <f>(E78*0.0034)</f>
        <v>0.01258</v>
      </c>
      <c r="G78" s="28"/>
      <c r="H78" s="5" t="s">
        <v>47</v>
      </c>
      <c r="I78" s="2" t="s">
        <v>96</v>
      </c>
      <c r="J78" s="30"/>
      <c r="K78" s="30"/>
      <c r="L78" s="3">
        <f>(J78*K78)</f>
        <v>0</v>
      </c>
    </row>
    <row r="79" spans="1:12" ht="14.25">
      <c r="A79" s="43" t="s">
        <v>55</v>
      </c>
      <c r="B79" s="36" t="s">
        <v>1</v>
      </c>
      <c r="C79" s="39">
        <v>1</v>
      </c>
      <c r="D79" s="39">
        <v>56.51</v>
      </c>
      <c r="E79" s="40">
        <f>(C79*D79)</f>
        <v>56.51</v>
      </c>
      <c r="F79" s="40">
        <f>(E79*0.0034)</f>
        <v>0.19213399999999997</v>
      </c>
      <c r="G79" s="28"/>
      <c r="H79" s="5" t="s">
        <v>48</v>
      </c>
      <c r="I79" s="2" t="s">
        <v>96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122</v>
      </c>
      <c r="I81" s="2" t="s">
        <v>96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40">
        <f>SUM(E29:E79)</f>
        <v>1763.041825</v>
      </c>
      <c r="F83" s="46">
        <f>SUM(F29:F79)</f>
        <v>5.994342204999998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1" t="s">
        <v>7</v>
      </c>
      <c r="B85" s="36" t="s">
        <v>1</v>
      </c>
      <c r="C85" s="39">
        <f>(E83)</f>
        <v>1763.041825</v>
      </c>
      <c r="D85" s="47">
        <v>0.0399</v>
      </c>
      <c r="E85" s="40">
        <f>(C85*D85)/2</f>
        <v>35.17268440875</v>
      </c>
      <c r="F85" s="40">
        <f>(E85*0.0034)</f>
        <v>0.11958712698974999</v>
      </c>
      <c r="G85" s="28"/>
      <c r="H85" s="4" t="s">
        <v>7</v>
      </c>
      <c r="I85" s="2" t="s">
        <v>96</v>
      </c>
      <c r="J85" s="105"/>
      <c r="K85" s="82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1" t="s">
        <v>111</v>
      </c>
      <c r="I86" s="2"/>
      <c r="J86" s="23"/>
      <c r="K86" s="80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10" t="s">
        <v>106</v>
      </c>
      <c r="B88" s="36"/>
      <c r="C88" s="39"/>
      <c r="D88" s="47"/>
      <c r="E88" s="50">
        <f>SUM(E83:E87)</f>
        <v>1798.21450940875</v>
      </c>
      <c r="F88" s="50">
        <f>SUM(F83:F85)</f>
        <v>6.113929331989748</v>
      </c>
      <c r="G88" s="28"/>
      <c r="H88" s="110" t="s">
        <v>107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120</v>
      </c>
      <c r="B90" s="36"/>
      <c r="C90" s="39"/>
      <c r="D90" s="47"/>
      <c r="E90" s="50">
        <f>(E88/C20)</f>
        <v>0.05605406824840243</v>
      </c>
      <c r="F90" s="50">
        <f>(F88)/(C20*0.0034)</f>
        <v>0.05605406824840242</v>
      </c>
      <c r="G90" s="28"/>
      <c r="H90" s="48" t="s">
        <v>120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18" t="s">
        <v>2</v>
      </c>
      <c r="C94" s="120" t="s">
        <v>3</v>
      </c>
      <c r="D94" s="120" t="s">
        <v>4</v>
      </c>
      <c r="E94" s="119" t="s">
        <v>5</v>
      </c>
      <c r="F94" s="12" t="s">
        <v>92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18"/>
      <c r="C95" s="120" t="s">
        <v>93</v>
      </c>
      <c r="D95" s="120" t="s">
        <v>94</v>
      </c>
      <c r="E95" s="119" t="s">
        <v>6</v>
      </c>
      <c r="F95" s="52" t="s">
        <v>113</v>
      </c>
      <c r="G95" s="27"/>
      <c r="H95" s="6"/>
      <c r="I95" s="12"/>
      <c r="J95" s="12"/>
      <c r="K95" s="12" t="s">
        <v>94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97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(E97*0.0034)</f>
        <v>0</v>
      </c>
      <c r="G97" s="28"/>
      <c r="H97" s="7" t="s">
        <v>114</v>
      </c>
      <c r="I97" s="2" t="s">
        <v>49</v>
      </c>
      <c r="J97" s="30"/>
      <c r="K97" s="82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61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(E99*0.0034)</f>
        <v>0.42023999999999995</v>
      </c>
      <c r="G99" s="28"/>
      <c r="H99" s="7" t="s">
        <v>61</v>
      </c>
      <c r="I99" s="2" t="s">
        <v>96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7.5</v>
      </c>
      <c r="D101" s="39">
        <v>10</v>
      </c>
      <c r="E101" s="40">
        <f>(C101*D101)</f>
        <v>75</v>
      </c>
      <c r="F101" s="40">
        <f>(E101*0.0034)</f>
        <v>0.255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12.32</v>
      </c>
      <c r="E104" s="40">
        <f>(C104*D104)</f>
        <v>12.32</v>
      </c>
      <c r="F104" s="40">
        <f>(E104*0.0034)</f>
        <v>0.041888</v>
      </c>
      <c r="G104" s="28"/>
      <c r="H104" s="5" t="s">
        <v>46</v>
      </c>
      <c r="I104" s="2" t="s">
        <v>96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13.79</v>
      </c>
      <c r="E105" s="40">
        <f>(C105*D105)</f>
        <v>13.79</v>
      </c>
      <c r="F105" s="40">
        <f>(E105*0.0034)</f>
        <v>0.046886</v>
      </c>
      <c r="G105" s="28"/>
      <c r="H105" s="5" t="s">
        <v>47</v>
      </c>
      <c r="I105" s="2" t="s">
        <v>96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1</v>
      </c>
      <c r="D106" s="39">
        <v>31.34</v>
      </c>
      <c r="E106" s="40">
        <f>(C106*D106)</f>
        <v>31.34</v>
      </c>
      <c r="F106" s="40">
        <f>(E106*0.0034)</f>
        <v>0.106556</v>
      </c>
      <c r="G106" s="28"/>
      <c r="H106" s="5" t="s">
        <v>48</v>
      </c>
      <c r="I106" s="2" t="s">
        <v>96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15.95</v>
      </c>
      <c r="E109" s="40">
        <f>(C109*D109)</f>
        <v>15.95</v>
      </c>
      <c r="F109" s="40">
        <f>(E109*0.0034)</f>
        <v>0.054229999999999993</v>
      </c>
      <c r="G109" s="28"/>
      <c r="H109" s="5" t="s">
        <v>46</v>
      </c>
      <c r="I109" s="2" t="s">
        <v>96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12.52</v>
      </c>
      <c r="E110" s="40">
        <f>(C110*D110)</f>
        <v>12.52</v>
      </c>
      <c r="F110" s="40">
        <f>(E110*0.0034)</f>
        <v>0.042567999999999995</v>
      </c>
      <c r="G110" s="28"/>
      <c r="H110" s="5" t="s">
        <v>47</v>
      </c>
      <c r="I110" s="2" t="s">
        <v>96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1</v>
      </c>
      <c r="D111" s="39">
        <v>46.34</v>
      </c>
      <c r="E111" s="40">
        <f>(C111*D111)</f>
        <v>46.34</v>
      </c>
      <c r="F111" s="40">
        <f>(E111*0.0034)</f>
        <v>0.157556</v>
      </c>
      <c r="G111" s="28"/>
      <c r="H111" s="5" t="s">
        <v>48</v>
      </c>
      <c r="I111" s="2" t="s">
        <v>96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10" t="s">
        <v>12</v>
      </c>
      <c r="B113" s="36"/>
      <c r="C113" s="36"/>
      <c r="D113" s="36"/>
      <c r="E113" s="50">
        <f>SUM(E97:E112)</f>
        <v>330.8599999999999</v>
      </c>
      <c r="F113" s="50">
        <f>SUM(F97:F112)</f>
        <v>1.124924</v>
      </c>
      <c r="G113" s="28"/>
      <c r="H113" s="110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50">
        <f>(E88+E113)</f>
        <v>2129.0745094087497</v>
      </c>
      <c r="F115" s="50">
        <f>(F88+F113)</f>
        <v>7.238853331989748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101</v>
      </c>
      <c r="B117" s="2"/>
      <c r="C117" s="2"/>
      <c r="D117" s="2"/>
      <c r="E117" s="15">
        <f>(E22-E88)</f>
        <v>9108.98549059125</v>
      </c>
      <c r="F117" s="15">
        <f>(F22-F88)</f>
        <v>30.97055066801025</v>
      </c>
      <c r="G117" s="29"/>
      <c r="H117" s="1" t="s">
        <v>101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102</v>
      </c>
      <c r="B119" s="36"/>
      <c r="C119" s="36"/>
      <c r="D119" s="36"/>
      <c r="E119" s="50">
        <f>(E22-E115)</f>
        <v>8778.12549059125</v>
      </c>
      <c r="F119" s="50">
        <f>(F22-F115)</f>
        <v>29.84562666801025</v>
      </c>
      <c r="G119" s="29"/>
      <c r="H119" s="1" t="s">
        <v>102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1"/>
      <c r="I120" s="2"/>
      <c r="J120" s="2"/>
      <c r="K120" s="2"/>
      <c r="L120" s="10"/>
    </row>
    <row r="121" spans="1:12" ht="12.75">
      <c r="A121" s="1" t="s">
        <v>72</v>
      </c>
      <c r="B121" s="36" t="s">
        <v>91</v>
      </c>
      <c r="C121" s="2"/>
      <c r="D121" s="2"/>
      <c r="E121" s="15">
        <f>(E115/C20)</f>
        <v>0.06636765927084631</v>
      </c>
      <c r="F121" s="15">
        <f>(F115)/(C20*0.0034)</f>
        <v>0.06636765927084631</v>
      </c>
      <c r="G121" s="29"/>
      <c r="H121" s="61" t="s">
        <v>72</v>
      </c>
      <c r="I121" s="36" t="s">
        <v>91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5"/>
      <c r="G122" s="15"/>
      <c r="H122" s="24"/>
      <c r="I122" s="36"/>
      <c r="J122" s="2"/>
      <c r="K122" s="2"/>
      <c r="L122" s="10"/>
    </row>
    <row r="123" spans="1:12" ht="12.75">
      <c r="A123" s="1"/>
      <c r="B123" s="36"/>
      <c r="C123" s="2"/>
      <c r="D123" s="2"/>
      <c r="E123" s="15"/>
      <c r="F123" s="109"/>
      <c r="G123" s="15"/>
      <c r="H123" s="24"/>
      <c r="I123" s="36"/>
      <c r="J123" s="2"/>
      <c r="K123" s="2"/>
      <c r="L123" s="10"/>
    </row>
    <row r="124" spans="1:12" ht="14.25">
      <c r="A124" s="60" t="s">
        <v>121</v>
      </c>
      <c r="B124" s="2"/>
      <c r="C124" s="2"/>
      <c r="D124" s="2"/>
      <c r="E124" s="15"/>
      <c r="F124" s="15"/>
      <c r="G124" s="15"/>
      <c r="H124" s="1"/>
      <c r="I124" s="2"/>
      <c r="J124" s="2"/>
      <c r="K124" s="2"/>
      <c r="L124" s="10"/>
    </row>
    <row r="125" spans="1:12" ht="14.25">
      <c r="A125" s="60"/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4.25">
      <c r="A126" s="60" t="s">
        <v>123</v>
      </c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ht="12.75">
      <c r="A127" s="14" t="s">
        <v>81</v>
      </c>
      <c r="B127" s="2"/>
      <c r="C127" s="2"/>
      <c r="D127" s="2"/>
      <c r="E127" s="15"/>
      <c r="F127" s="15"/>
      <c r="G127" s="15"/>
      <c r="H127" s="1"/>
      <c r="I127" s="2"/>
      <c r="J127" s="2"/>
      <c r="K127" s="2"/>
      <c r="L127" s="10"/>
    </row>
    <row r="128" spans="1:8" ht="12.75">
      <c r="A128" s="106" t="s">
        <v>124</v>
      </c>
      <c r="B128" s="2"/>
      <c r="C128" s="2"/>
      <c r="D128" s="2"/>
      <c r="E128" s="3"/>
      <c r="F128" s="3"/>
      <c r="G128" s="3"/>
      <c r="H128" s="1"/>
    </row>
    <row r="129" spans="1:8" ht="12.75">
      <c r="A129" s="51"/>
      <c r="B129" s="2"/>
      <c r="C129" s="2"/>
      <c r="D129" s="2"/>
      <c r="E129" s="3"/>
      <c r="F129" s="3"/>
      <c r="G129" s="3"/>
      <c r="H129" s="1"/>
    </row>
    <row r="130" spans="1:8" ht="12.75">
      <c r="A130" s="14" t="s">
        <v>125</v>
      </c>
      <c r="B130" s="2"/>
      <c r="C130" s="2"/>
      <c r="D130" s="2"/>
      <c r="E130" s="3"/>
      <c r="F130" s="3"/>
      <c r="G130" s="3"/>
      <c r="H130" s="1"/>
    </row>
    <row r="131" ht="12.75">
      <c r="A131" s="14"/>
    </row>
    <row r="132" spans="1:2" ht="12.75">
      <c r="A132" s="14" t="s">
        <v>129</v>
      </c>
      <c r="B132" s="2"/>
    </row>
    <row r="133" spans="1:2" ht="12.75">
      <c r="A133" t="s">
        <v>32</v>
      </c>
      <c r="B133" s="2"/>
    </row>
  </sheetData>
  <sheetProtection password="C610" sheet="1"/>
  <hyperlinks>
    <hyperlink ref="A128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R8" sqref="R8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9" t="s">
        <v>128</v>
      </c>
    </row>
    <row r="9" spans="5:14" ht="15.75">
      <c r="E9" s="131" t="s">
        <v>53</v>
      </c>
      <c r="F9" s="131"/>
      <c r="M9" s="131" t="s">
        <v>54</v>
      </c>
      <c r="N9" s="131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30" t="s">
        <v>103</v>
      </c>
      <c r="F11" s="130"/>
      <c r="G11" s="1"/>
      <c r="H11" s="1"/>
      <c r="K11" s="1"/>
      <c r="L11" s="12"/>
      <c r="M11" s="130" t="s">
        <v>103</v>
      </c>
      <c r="N11" s="130"/>
      <c r="O11" s="12"/>
      <c r="P11" s="12"/>
    </row>
    <row r="12" spans="3:16" ht="12.75">
      <c r="C12" s="117" t="s">
        <v>74</v>
      </c>
      <c r="D12" s="117"/>
      <c r="E12" s="117"/>
      <c r="F12" s="117"/>
      <c r="G12" s="117"/>
      <c r="H12" s="117"/>
      <c r="K12" s="1" t="s">
        <v>105</v>
      </c>
      <c r="L12" s="12"/>
      <c r="M12" s="12"/>
      <c r="N12" s="12"/>
      <c r="O12" s="12"/>
      <c r="P12" s="12"/>
    </row>
    <row r="13" spans="3:16" ht="12.75">
      <c r="C13" s="1"/>
      <c r="D13" s="1"/>
      <c r="E13" s="130" t="s">
        <v>115</v>
      </c>
      <c r="F13" s="130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82</v>
      </c>
      <c r="H15" s="69" t="s">
        <v>83</v>
      </c>
      <c r="L15" s="66">
        <v>-0.2</v>
      </c>
      <c r="M15" s="66">
        <v>-0.1</v>
      </c>
      <c r="N15" s="12" t="s">
        <v>4</v>
      </c>
      <c r="O15" s="69" t="s">
        <v>82</v>
      </c>
      <c r="P15" s="69" t="s">
        <v>83</v>
      </c>
    </row>
    <row r="16" spans="1:16" ht="13.5" thickBot="1">
      <c r="A16" s="62"/>
      <c r="D16" s="75">
        <f>ROUND((F16*0.8),2)</f>
        <v>0.27</v>
      </c>
      <c r="E16" s="74">
        <f>ROUND((F16*0.9),2)</f>
        <v>0.31</v>
      </c>
      <c r="F16" s="74">
        <f>Budget!D20</f>
        <v>0.34</v>
      </c>
      <c r="G16" s="74">
        <f>ROUND((F16*1.1),2)</f>
        <v>0.37</v>
      </c>
      <c r="H16" s="76">
        <f>ROUND((F16*1.2),2)</f>
        <v>0.41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126">
        <f>(0.8*C19)</f>
        <v>87.2576</v>
      </c>
      <c r="D17" s="87">
        <f>(D16*C17)-Budget!F115</f>
        <v>16.32069866801025</v>
      </c>
      <c r="E17" s="88">
        <f>(E16*C17)-Budget!F115</f>
        <v>19.81100266801025</v>
      </c>
      <c r="F17" s="88">
        <f>(F16*C17)-Budget!F115</f>
        <v>22.428730668010253</v>
      </c>
      <c r="G17" s="88">
        <f>(G16*C17)-Budget!F115</f>
        <v>25.04645866801025</v>
      </c>
      <c r="H17" s="89">
        <f>(H16*C17)-Budget!F115</f>
        <v>28.53676266801025</v>
      </c>
      <c r="J17" s="67">
        <v>-0.2</v>
      </c>
      <c r="K17" s="71">
        <f>(0.8*K19)</f>
        <v>0</v>
      </c>
      <c r="L17" s="87">
        <f>(L16*K17)-Budget!L115</f>
        <v>0</v>
      </c>
      <c r="M17" s="88">
        <f>(M16*K17)-Budget!L115</f>
        <v>0</v>
      </c>
      <c r="N17" s="88">
        <f>(N16*K17)-Budget!L115</f>
        <v>0</v>
      </c>
      <c r="O17" s="88">
        <f>(O16*K17)-Budget!L115</f>
        <v>0</v>
      </c>
      <c r="P17" s="89">
        <f>(P16*K17)-Budget!L115</f>
        <v>0</v>
      </c>
    </row>
    <row r="18" spans="1:16" ht="12.75">
      <c r="A18" s="4"/>
      <c r="B18" s="67">
        <v>-0.1</v>
      </c>
      <c r="C18" s="127">
        <f>(0.9*C19)</f>
        <v>98.16479999999999</v>
      </c>
      <c r="D18" s="90">
        <f>(D16*C18)-Budget!F115</f>
        <v>19.265642668010248</v>
      </c>
      <c r="E18" s="91">
        <f>(E16*C18)-Budget!F115</f>
        <v>23.192234668010247</v>
      </c>
      <c r="F18" s="91">
        <f>(F16*C18)-Budget!F115</f>
        <v>26.137178668010247</v>
      </c>
      <c r="G18" s="91">
        <f>(G16*C18)-Budget!F115</f>
        <v>29.082122668010246</v>
      </c>
      <c r="H18" s="92">
        <f>(H16*C18)-Budget!F115</f>
        <v>33.00871466801024</v>
      </c>
      <c r="J18" s="67">
        <v>-0.1</v>
      </c>
      <c r="K18" s="72">
        <f>(0.9*K19)</f>
        <v>0</v>
      </c>
      <c r="L18" s="90">
        <f>(L16*K18)-Budget!L115</f>
        <v>0</v>
      </c>
      <c r="M18" s="91">
        <f>(M16*K18)-Budget!L115</f>
        <v>0</v>
      </c>
      <c r="N18" s="91">
        <f>(N16*K18)-Budget!L115</f>
        <v>0</v>
      </c>
      <c r="O18" s="91">
        <f>(O16*K18)-Budget!L115</f>
        <v>0</v>
      </c>
      <c r="P18" s="92">
        <f>(P16*K18)-Budget!L115</f>
        <v>0</v>
      </c>
    </row>
    <row r="19" spans="1:16" ht="12.75">
      <c r="A19" s="62"/>
      <c r="B19" s="6" t="s">
        <v>75</v>
      </c>
      <c r="C19" s="127">
        <f>(Budget!C20*0.0034)</f>
        <v>109.07199999999999</v>
      </c>
      <c r="D19" s="90">
        <f>(D16*C19)-Budget!F115</f>
        <v>22.21058666801025</v>
      </c>
      <c r="E19" s="91">
        <f>(E16*C19)-Budget!F115</f>
        <v>26.57346666801025</v>
      </c>
      <c r="F19" s="91">
        <f>(F16*C19)-Budget!F115</f>
        <v>29.84562666801025</v>
      </c>
      <c r="G19" s="91">
        <f>(G16*C19)-Budget!F115</f>
        <v>33.117786668010254</v>
      </c>
      <c r="H19" s="92">
        <f>(H16*C19)-Budget!F115</f>
        <v>37.480666668010244</v>
      </c>
      <c r="J19" s="6" t="s">
        <v>75</v>
      </c>
      <c r="K19" s="72">
        <f>Budget!J20</f>
        <v>0</v>
      </c>
      <c r="L19" s="90">
        <f>(L16*K19)-Budget!L115</f>
        <v>0</v>
      </c>
      <c r="M19" s="91">
        <f>(M16*K19)-Budget!L115</f>
        <v>0</v>
      </c>
      <c r="N19" s="91">
        <f>(N16*K19)-Budget!L115</f>
        <v>0</v>
      </c>
      <c r="O19" s="91">
        <f>(O16*K19)-Budget!L115</f>
        <v>0</v>
      </c>
      <c r="P19" s="92">
        <f>(P16*K19)-Budget!L115</f>
        <v>0</v>
      </c>
    </row>
    <row r="20" spans="1:16" ht="12.75">
      <c r="A20" s="62"/>
      <c r="B20" s="70" t="s">
        <v>82</v>
      </c>
      <c r="C20" s="127">
        <f>(1.1*C19)</f>
        <v>119.97919999999999</v>
      </c>
      <c r="D20" s="90">
        <f>(D16*C20)-Budget!F115</f>
        <v>25.155530668010254</v>
      </c>
      <c r="E20" s="91">
        <f>(E16*C20)-Budget!F115</f>
        <v>29.95469866801025</v>
      </c>
      <c r="F20" s="91">
        <f>(F16*C20)-Budget!F115</f>
        <v>33.55407466801026</v>
      </c>
      <c r="G20" s="91">
        <f>(G16*C20)-Budget!F115</f>
        <v>37.15345066801025</v>
      </c>
      <c r="H20" s="92">
        <f>(H16*C20)-Budget!F115</f>
        <v>41.952618668010246</v>
      </c>
      <c r="J20" s="70" t="s">
        <v>82</v>
      </c>
      <c r="K20" s="72">
        <f>(1.1*K19)</f>
        <v>0</v>
      </c>
      <c r="L20" s="90">
        <f>(L16*K20)-Budget!L115</f>
        <v>0</v>
      </c>
      <c r="M20" s="91">
        <f>(M16*K20)-Budget!L115</f>
        <v>0</v>
      </c>
      <c r="N20" s="91">
        <f>(N16*K20)-Budget!L115</f>
        <v>0</v>
      </c>
      <c r="O20" s="91">
        <f>(O16*K20)-Budget!L115</f>
        <v>0</v>
      </c>
      <c r="P20" s="92">
        <f>(P16*K20)-Budget!L115</f>
        <v>0</v>
      </c>
    </row>
    <row r="21" spans="2:16" ht="13.5" thickBot="1">
      <c r="B21" s="70" t="s">
        <v>83</v>
      </c>
      <c r="C21" s="128">
        <f>(1.2*C19)</f>
        <v>130.88639999999998</v>
      </c>
      <c r="D21" s="93">
        <f>(D16*C21)-Budget!F115</f>
        <v>28.100474668010246</v>
      </c>
      <c r="E21" s="94">
        <f>(E16*C21)-Budget!F115</f>
        <v>33.33593066801025</v>
      </c>
      <c r="F21" s="94">
        <f>(F16*C21)-Budget!F115</f>
        <v>37.26252266801025</v>
      </c>
      <c r="G21" s="94">
        <f>(G16*C21)-Budget!F115</f>
        <v>41.18911466801025</v>
      </c>
      <c r="H21" s="95">
        <f>(H16*C21)-Budget!F115</f>
        <v>46.42457066801025</v>
      </c>
      <c r="J21" s="70" t="s">
        <v>83</v>
      </c>
      <c r="K21" s="73">
        <f>(1.2*K19)</f>
        <v>0</v>
      </c>
      <c r="L21" s="93">
        <f>(L16*K21)-Budget!L115</f>
        <v>0</v>
      </c>
      <c r="M21" s="94">
        <f>(M16*K21)-Budget!L115</f>
        <v>0</v>
      </c>
      <c r="N21" s="94">
        <f>(N16*K21)-Budget!L115</f>
        <v>0</v>
      </c>
      <c r="O21" s="94">
        <f>(O16*K21)-Budget!L115</f>
        <v>0</v>
      </c>
      <c r="P21" s="95">
        <f>(P16*K21)-Budget!L115</f>
        <v>0</v>
      </c>
    </row>
    <row r="26" spans="3:14" ht="12.75">
      <c r="C26" s="1"/>
      <c r="D26" s="1"/>
      <c r="E26" s="130" t="s">
        <v>104</v>
      </c>
      <c r="F26" s="130"/>
      <c r="K26" s="1"/>
      <c r="L26" s="12"/>
      <c r="M26" s="130" t="s">
        <v>104</v>
      </c>
      <c r="N26" s="130"/>
    </row>
    <row r="27" spans="3:14" ht="12.75">
      <c r="C27" s="1" t="s">
        <v>73</v>
      </c>
      <c r="D27" s="1"/>
      <c r="E27" s="1"/>
      <c r="F27" s="1"/>
      <c r="K27" s="1" t="s">
        <v>73</v>
      </c>
      <c r="L27" s="12"/>
      <c r="M27" s="12"/>
      <c r="N27" s="12"/>
    </row>
    <row r="28" spans="3:16" ht="12.75">
      <c r="C28" s="1"/>
      <c r="D28" s="1"/>
      <c r="E28" s="130" t="s">
        <v>115</v>
      </c>
      <c r="F28" s="130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82</v>
      </c>
      <c r="H30" s="69" t="s">
        <v>83</v>
      </c>
      <c r="L30" s="66">
        <v>-0.2</v>
      </c>
      <c r="M30" s="66">
        <v>-0.1</v>
      </c>
      <c r="N30" s="12" t="s">
        <v>4</v>
      </c>
      <c r="O30" s="69" t="s">
        <v>82</v>
      </c>
      <c r="P30" s="69" t="s">
        <v>83</v>
      </c>
    </row>
    <row r="31" spans="4:16" ht="13.5" thickBot="1">
      <c r="D31" s="79">
        <f>ROUND((F31*0.8),2)</f>
        <v>0.27</v>
      </c>
      <c r="E31" s="74">
        <f>ROUND((F31*0.9),2)</f>
        <v>0.31</v>
      </c>
      <c r="F31" s="74">
        <f>Budget!D20</f>
        <v>0.34</v>
      </c>
      <c r="G31" s="77">
        <f>ROUND((F31*1.1),2)</f>
        <v>0.37</v>
      </c>
      <c r="H31" s="78">
        <f>ROUND((F31*1.2),2)</f>
        <v>0.41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5.791082665591799</v>
      </c>
      <c r="D32" s="96">
        <f>(C32/D31)</f>
        <v>21.44845431700666</v>
      </c>
      <c r="E32" s="97">
        <f>(C32/E31)</f>
        <v>18.680911824489673</v>
      </c>
      <c r="F32" s="97">
        <f>(C32/F31)</f>
        <v>17.032596075269996</v>
      </c>
      <c r="G32" s="97">
        <f>(C32/G31)</f>
        <v>15.651574771869727</v>
      </c>
      <c r="H32" s="98">
        <f>(C32/H31)</f>
        <v>14.124591867297072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6.514967998790774</v>
      </c>
      <c r="D33" s="99">
        <f>(C33/D31)</f>
        <v>24.129511106632496</v>
      </c>
      <c r="E33" s="100">
        <f>(C33/E31)</f>
        <v>21.016025802550885</v>
      </c>
      <c r="F33" s="100">
        <f>(C33/F31)</f>
        <v>19.161670584678745</v>
      </c>
      <c r="G33" s="100">
        <f>(C33/G31)</f>
        <v>17.608021618353444</v>
      </c>
      <c r="H33" s="101">
        <f>(C33/H31)</f>
        <v>15.890165850709206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Budget!F115</f>
        <v>7.238853331989748</v>
      </c>
      <c r="D34" s="99">
        <f>(C34/D31)</f>
        <v>26.810567896258327</v>
      </c>
      <c r="E34" s="100">
        <f>(C34/E31)</f>
        <v>23.35113978061209</v>
      </c>
      <c r="F34" s="100">
        <f>(C34/F31)</f>
        <v>21.290745094087494</v>
      </c>
      <c r="G34" s="100">
        <f>(C34/G31)</f>
        <v>19.56446846483716</v>
      </c>
      <c r="H34" s="101">
        <f>(C34/H31)</f>
        <v>17.655739834121338</v>
      </c>
      <c r="J34" s="6" t="s">
        <v>13</v>
      </c>
      <c r="K34" s="64">
        <f>Budget!L115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82</v>
      </c>
      <c r="C35" s="64">
        <f>(1.1*C34)</f>
        <v>7.9627386651887235</v>
      </c>
      <c r="D35" s="99">
        <f>(C35/D31)</f>
        <v>29.491624685884158</v>
      </c>
      <c r="E35" s="100">
        <f>(C35/E31)</f>
        <v>25.686253758673303</v>
      </c>
      <c r="F35" s="100">
        <f>(C35/F31)</f>
        <v>23.419819603496244</v>
      </c>
      <c r="G35" s="100">
        <f>(C35/G31)</f>
        <v>21.520915311320874</v>
      </c>
      <c r="H35" s="101">
        <f>(C35/H31)</f>
        <v>19.421313817533473</v>
      </c>
      <c r="J35" s="70" t="s">
        <v>82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83</v>
      </c>
      <c r="C36" s="65">
        <f>(1.2*C34)</f>
        <v>8.686623998387697</v>
      </c>
      <c r="D36" s="102">
        <f>(C36/D31)</f>
        <v>32.17268147550999</v>
      </c>
      <c r="E36" s="103">
        <f>(C36/E31)</f>
        <v>28.021367736734508</v>
      </c>
      <c r="F36" s="103">
        <f>(C36/F31)</f>
        <v>25.54889411290499</v>
      </c>
      <c r="G36" s="103">
        <f>(C36/G31)</f>
        <v>23.47736215780459</v>
      </c>
      <c r="H36" s="104">
        <f>(C36/H31)</f>
        <v>21.186887800945602</v>
      </c>
      <c r="J36" s="70" t="s">
        <v>83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4"/>
  <sheetViews>
    <sheetView zoomScale="85" zoomScaleNormal="85" zoomScalePageLayoutView="0" workbookViewId="0" topLeftCell="A1">
      <selection activeCell="I43" sqref="I43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00390625" style="0" customWidth="1"/>
  </cols>
  <sheetData>
    <row r="8" spans="1:2" ht="15.75">
      <c r="A8" s="129" t="s">
        <v>128</v>
      </c>
      <c r="B8" s="2"/>
    </row>
    <row r="9" spans="1:2" ht="15.75">
      <c r="A9" s="129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110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116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78</v>
      </c>
      <c r="B14" s="7"/>
      <c r="C14" s="68">
        <v>0.18</v>
      </c>
      <c r="D14" s="68">
        <v>0.14</v>
      </c>
      <c r="E14" s="68">
        <v>0.55</v>
      </c>
      <c r="F14" s="68">
        <v>0.47</v>
      </c>
      <c r="G14" s="68">
        <v>0.06</v>
      </c>
      <c r="H14" s="3">
        <v>1</v>
      </c>
      <c r="I14" s="13">
        <f>SUM(C14:G14)*H14</f>
        <v>1.4000000000000001</v>
      </c>
      <c r="J14" s="121">
        <f>(I14*0.0034)</f>
        <v>0.00476</v>
      </c>
    </row>
    <row r="15" spans="1:10" ht="12.75">
      <c r="A15" t="s">
        <v>78</v>
      </c>
      <c r="B15" s="7"/>
      <c r="C15" s="68">
        <v>0.18</v>
      </c>
      <c r="D15" s="68">
        <v>0.14</v>
      </c>
      <c r="E15" s="68">
        <v>0.55</v>
      </c>
      <c r="F15" s="68">
        <v>0.47</v>
      </c>
      <c r="G15" s="68">
        <v>0.06</v>
      </c>
      <c r="H15" s="3">
        <v>1</v>
      </c>
      <c r="I15" s="13">
        <f>SUM(C15:G15)*H15</f>
        <v>1.4000000000000001</v>
      </c>
      <c r="J15" s="121">
        <f aca="true" t="shared" si="0" ref="J15:J21">(I15*0.0034)</f>
        <v>0.00476</v>
      </c>
    </row>
    <row r="16" spans="1:10" ht="12.75">
      <c r="A16" s="14" t="s">
        <v>76</v>
      </c>
      <c r="B16" t="s">
        <v>77</v>
      </c>
      <c r="C16" s="13">
        <v>1.77</v>
      </c>
      <c r="D16" s="13">
        <v>1.21</v>
      </c>
      <c r="E16" s="13">
        <v>5.01</v>
      </c>
      <c r="F16" s="13">
        <v>5.29</v>
      </c>
      <c r="G16" s="13">
        <v>0.66</v>
      </c>
      <c r="H16" s="3">
        <v>2</v>
      </c>
      <c r="I16" s="13">
        <f>SUM(C16:G16)/H16</f>
        <v>6.970000000000001</v>
      </c>
      <c r="J16" s="121">
        <f t="shared" si="0"/>
        <v>0.023698</v>
      </c>
    </row>
    <row r="17" spans="1:10" ht="12.75">
      <c r="A17" t="s">
        <v>29</v>
      </c>
      <c r="B17" s="7" t="s">
        <v>112</v>
      </c>
      <c r="C17" s="68">
        <v>2.94</v>
      </c>
      <c r="D17" s="68">
        <v>2.78</v>
      </c>
      <c r="E17" s="68">
        <v>3.18</v>
      </c>
      <c r="F17" s="68">
        <v>2.45</v>
      </c>
      <c r="G17" s="68">
        <v>0.76</v>
      </c>
      <c r="H17" s="3">
        <v>1</v>
      </c>
      <c r="I17" s="13">
        <f>SUM(C17:G17)*H17</f>
        <v>12.110000000000001</v>
      </c>
      <c r="J17" s="121">
        <f t="shared" si="0"/>
        <v>0.041174</v>
      </c>
    </row>
    <row r="18" spans="1:10" ht="12.75">
      <c r="A18" s="14" t="s">
        <v>76</v>
      </c>
      <c r="B18" t="s">
        <v>79</v>
      </c>
      <c r="C18" s="13">
        <v>3.65</v>
      </c>
      <c r="D18" s="13">
        <v>2.18</v>
      </c>
      <c r="E18" s="13">
        <v>4.35</v>
      </c>
      <c r="F18" s="13">
        <v>4.6</v>
      </c>
      <c r="G18" s="13">
        <v>2.1</v>
      </c>
      <c r="H18" s="3">
        <v>1</v>
      </c>
      <c r="I18" s="13">
        <f>SUM(C18:G18)/H18</f>
        <v>16.88</v>
      </c>
      <c r="J18" s="121">
        <f t="shared" si="0"/>
        <v>0.05739199999999999</v>
      </c>
    </row>
    <row r="19" spans="1:10" ht="12.75">
      <c r="A19" t="s">
        <v>29</v>
      </c>
      <c r="B19" t="s">
        <v>108</v>
      </c>
      <c r="C19" s="13">
        <v>4.17</v>
      </c>
      <c r="D19" s="13">
        <v>3.06</v>
      </c>
      <c r="E19" s="13">
        <v>10.08</v>
      </c>
      <c r="F19" s="13">
        <v>7.77</v>
      </c>
      <c r="G19" s="13">
        <v>1.4</v>
      </c>
      <c r="H19" s="3">
        <v>2</v>
      </c>
      <c r="I19" s="13">
        <f>SUM(C19:G19)/H19</f>
        <v>13.24</v>
      </c>
      <c r="J19" s="121">
        <f t="shared" si="0"/>
        <v>0.045016</v>
      </c>
    </row>
    <row r="20" spans="1:10" ht="12.75">
      <c r="A20" t="s">
        <v>29</v>
      </c>
      <c r="B20" t="s">
        <v>119</v>
      </c>
      <c r="C20" s="13">
        <v>15.41</v>
      </c>
      <c r="D20" s="13">
        <v>16.28</v>
      </c>
      <c r="E20" s="13">
        <v>25.74</v>
      </c>
      <c r="F20" s="13">
        <v>19.83</v>
      </c>
      <c r="G20" s="13">
        <v>3.93</v>
      </c>
      <c r="H20" s="3">
        <v>1</v>
      </c>
      <c r="I20" s="13">
        <f>SUM(C20:G20)/H20</f>
        <v>81.19</v>
      </c>
      <c r="J20" s="121">
        <f t="shared" si="0"/>
        <v>0.27604599999999996</v>
      </c>
    </row>
    <row r="21" spans="1:10" ht="12.75">
      <c r="A21" s="14" t="s">
        <v>109</v>
      </c>
      <c r="B21" t="s">
        <v>80</v>
      </c>
      <c r="C21" s="13">
        <v>0.18</v>
      </c>
      <c r="D21" s="13">
        <v>0.32</v>
      </c>
      <c r="E21" s="13">
        <v>0.61</v>
      </c>
      <c r="F21" s="13">
        <v>0.25</v>
      </c>
      <c r="G21" s="13">
        <v>0.03</v>
      </c>
      <c r="H21" s="3">
        <v>1</v>
      </c>
      <c r="I21" s="13">
        <f>SUM(C21:G21)/H21</f>
        <v>1.39</v>
      </c>
      <c r="J21" s="121">
        <f t="shared" si="0"/>
        <v>0.004725999999999999</v>
      </c>
    </row>
    <row r="22" spans="1:10" ht="12.75">
      <c r="A22" t="s">
        <v>30</v>
      </c>
      <c r="C22" s="13" t="s">
        <v>17</v>
      </c>
      <c r="D22" s="13"/>
      <c r="E22" s="13"/>
      <c r="F22" s="13">
        <f>SUM(F14:F21)*0.15</f>
        <v>6.169499999999999</v>
      </c>
      <c r="G22" s="13"/>
      <c r="H22" s="13"/>
      <c r="I22" s="13"/>
      <c r="J22" s="121">
        <f>(F22*0.0034)</f>
        <v>0.020976299999999996</v>
      </c>
    </row>
    <row r="23" spans="3:9" ht="12.75">
      <c r="C23" s="13"/>
      <c r="D23" s="13"/>
      <c r="E23" s="13"/>
      <c r="F23" s="13"/>
      <c r="G23" s="13"/>
      <c r="H23" s="13"/>
      <c r="I23" s="13"/>
    </row>
    <row r="24" spans="1:10" ht="12.75">
      <c r="A24" t="s">
        <v>31</v>
      </c>
      <c r="C24" s="13">
        <f>SUM(C14:C23)</f>
        <v>28.48</v>
      </c>
      <c r="D24" s="13">
        <f>SUM(D14:D21)</f>
        <v>26.11</v>
      </c>
      <c r="E24" s="13">
        <f>SUM(E14:E21)</f>
        <v>50.06999999999999</v>
      </c>
      <c r="F24" s="13">
        <f>SUM(F14:F22)</f>
        <v>47.299499999999995</v>
      </c>
      <c r="G24" s="13">
        <f>SUM(G14:G23)</f>
        <v>9</v>
      </c>
      <c r="H24" s="13"/>
      <c r="I24" s="13">
        <f>SUM(C24:G24)</f>
        <v>160.9595</v>
      </c>
      <c r="J24" s="121">
        <f>(I24*0.0034)</f>
        <v>0.5472623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6:I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Lorre Kolb</cp:lastModifiedBy>
  <cp:lastPrinted>2009-03-20T20:26:20Z</cp:lastPrinted>
  <dcterms:created xsi:type="dcterms:W3CDTF">2006-06-24T15:43:23Z</dcterms:created>
  <dcterms:modified xsi:type="dcterms:W3CDTF">2020-12-14T21:39:25Z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