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<sst xmlns="http://schemas.openxmlformats.org/spreadsheetml/2006/main" count="305" uniqueCount="142">
  <si>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</si>
  <si>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</si>
  <si>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</si>
  <si>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</si>
  <si>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</si>
  <si>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</si>
  <si>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</si>
  <si>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</si>
  <si>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</si>
  <si>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</si>
  <si>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</si>
  <si>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</si>
  <si>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</si>
  <si>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</si>
  <si>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</si>
  <si>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</si>
  <si>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</si>
  <si>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</si>
  <si>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</si>
  <si>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</si>
  <si>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</si>
  <si>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</si>
  <si>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</si>
  <si>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</si>
  <si>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</si>
  <si>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</si>
  <si>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</si>
  <si>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</si>
  <si>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</si>
  <si>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</si>
  <si>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</si>
  <si>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</si>
  <si>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</si>
  <si>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</si>
  <si>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</si>
  <si>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</si>
  <si>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</si>
  <si>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</si>
  <si>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</si>
  <si>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</si>
  <si>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</si>
  <si>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</si>
  <si>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</si>
  <si>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</si>
  <si>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</si>
  <si>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</si>
  <si>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</si>
  <si>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</si>
  <si>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</si>
  <si>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</si>
  <si>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</si>
  <si>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</si>
  <si>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</si>
  <si>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</si>
  <si>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</si>
  <si>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</si>
  <si>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</si>
  <si>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</si>
  <si>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</si>
  <si>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</si>
  <si>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</si>
  <si>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</si>
  <si>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</si>
  <si>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</si>
  <si>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</si>
  <si>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</si>
  <si>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</si>
  <si>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</si>
  <si>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</si>
  <si>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</si>
  <si>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</si>
  <si>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</si>
  <si>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</si>
  <si>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</si>
  <si>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</si>
  <si>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</si>
  <si>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</si>
  <si>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</si>
  <si>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</si>
  <si>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</si>
  <si>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</si>
  <si>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</si>
  <si>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</si>
  <si>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</si>
  <si>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</si>
  <si>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</si>
  <si>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</si>
  <si>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</si>
  <si>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None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</si>
  <si>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</si>
  <si>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</si>
  <si>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</si>
  <si>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</si>
  <si>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</si>
  <si>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</si>
  <si>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</si>
  <si>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</si>
  <si>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</si>
  <si>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</si>
  <si>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</si>
  <si>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</si>
  <si>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</si>
  <si>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</si>
  <si>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</si>
  <si>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</si>
  <si>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</si>
  <si>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</si>
  <si>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2-row cultivator</t>
  </si>
  <si>
    <t>Tractor 024 HP</t>
  </si>
  <si>
    <t xml:space="preserve">Cost per </t>
  </si>
  <si>
    <t>100 ft Row ($)</t>
  </si>
  <si>
    <t>(per 100 ft Row)</t>
  </si>
  <si>
    <t>100 ft Row</t>
  </si>
  <si>
    <t>2-row transplanter</t>
  </si>
  <si>
    <t>Asparagus</t>
  </si>
  <si>
    <r>
      <t>Asparagus Transplants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</t>
    </r>
  </si>
  <si>
    <t>thousand</t>
  </si>
  <si>
    <t xml:space="preserve">Asparagus Transplants  </t>
  </si>
  <si>
    <t>Roundup Weathermax - 2 applications</t>
  </si>
  <si>
    <t>Sencor 75DF</t>
  </si>
  <si>
    <t>Poast</t>
  </si>
  <si>
    <t>pint</t>
  </si>
  <si>
    <t>Adjuvant</t>
  </si>
  <si>
    <t>Sevin XLR Plus - 3 applications</t>
  </si>
  <si>
    <t>Penncozeb 70DF - 3 applications</t>
  </si>
  <si>
    <t>$ per lb</t>
  </si>
  <si>
    <t>Total Operating Costs per Unit of Production</t>
  </si>
  <si>
    <r>
      <t>1</t>
    </r>
    <r>
      <rPr>
        <sz val="10"/>
        <rFont val="Arial"/>
        <family val="2"/>
      </rPr>
      <t xml:space="preserve"> The cost of asparagus transplants are averaged over 5 years.</t>
    </r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</si>
  <si>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</si>
  <si>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2</t>
    </r>
    <r>
      <rPr>
        <sz val="10"/>
        <rFont val="Arial"/>
        <family val="2"/>
      </rPr>
      <t xml:space="preserve"> Durables include a 8 ft X 14 ft cooler.</t>
    </r>
  </si>
  <si>
    <r>
      <t xml:space="preserve">   Durables</t>
    </r>
    <r>
      <rPr>
        <vertAlign val="superscript"/>
        <sz val="10"/>
        <rFont val="Arial"/>
        <family val="2"/>
      </rPr>
      <t>2</t>
    </r>
  </si>
  <si>
    <r>
      <t>Custom Rate Charges</t>
    </r>
    <r>
      <rPr>
        <vertAlign val="superscript"/>
        <sz val="10"/>
        <rFont val="Arial"/>
        <family val="2"/>
      </rPr>
      <t>3</t>
    </r>
  </si>
  <si>
    <t>Bed shaper</t>
  </si>
  <si>
    <t>Management charge (enter % of income in J98)</t>
  </si>
  <si>
    <t>(Enter % in J86)</t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</si>
  <si>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</si>
  <si>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</si>
  <si>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</si>
  <si>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</si>
  <si>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mitzi</t>
  </si>
  <si>
    <t>Asparagus market non-irrigated 5 yr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</si>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</sst>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138</xdr:row>
      <xdr:rowOff>9525</xdr:rowOff>
    </xdr:from>
    <xdr:to>
      <xdr:col>7</xdr:col>
      <xdr:colOff>914400</xdr:colOff>
      <xdr:row>146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2265997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133350</xdr:rowOff>
    </xdr:from>
    <xdr:to>
      <xdr:col>5</xdr:col>
      <xdr:colOff>266700</xdr:colOff>
      <xdr:row>41</xdr:row>
      <xdr:rowOff>114300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229225"/>
          <a:ext cx="20574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6"/>
  <sheetViews>
    <sheetView tabSelected="1" zoomScale="70" zoomScaleNormal="70" zoomScaleSheetLayoutView="75" zoomScalePageLayoutView="0" workbookViewId="0" topLeftCell="A1">
      <selection activeCell="Q15" sqref="Q15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10.421875" style="0" customWidth="1"/>
    <col min="4" max="4" width="10.28125" style="0" customWidth="1"/>
    <col min="5" max="5" width="11.8515625" style="0" customWidth="1"/>
    <col min="6" max="6" width="16.57421875" style="0" customWidth="1"/>
    <col min="7" max="7" width="3.28125" style="0" customWidth="1"/>
    <col min="8" max="8" width="49.851562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140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56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4"/>
      <c r="H14" s="123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90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91</v>
      </c>
      <c r="D16" s="22" t="s">
        <v>92</v>
      </c>
      <c r="E16" s="34" t="s">
        <v>6</v>
      </c>
      <c r="F16" s="53" t="s">
        <v>110</v>
      </c>
      <c r="G16" s="26"/>
      <c r="H16" s="25"/>
      <c r="I16" s="22"/>
      <c r="J16" s="22"/>
      <c r="K16" s="22" t="s">
        <v>92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55</v>
      </c>
      <c r="B18" s="36"/>
      <c r="C18" s="36"/>
      <c r="D18" s="36"/>
      <c r="E18" s="37"/>
      <c r="F18" s="37"/>
      <c r="G18" s="27"/>
      <c r="H18" s="9" t="s">
        <v>55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114</v>
      </c>
      <c r="B20" s="36" t="s">
        <v>89</v>
      </c>
      <c r="C20" s="39">
        <v>3000</v>
      </c>
      <c r="D20" s="39">
        <v>1.1</v>
      </c>
      <c r="E20" s="107">
        <f>(C20*D20)</f>
        <v>3300.0000000000005</v>
      </c>
      <c r="F20" s="40">
        <f>(E20*0.0069)</f>
        <v>22.770000000000003</v>
      </c>
      <c r="G20" s="28"/>
      <c r="H20" s="35" t="s">
        <v>114</v>
      </c>
      <c r="I20" s="36" t="s">
        <v>89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3300.0000000000005</v>
      </c>
      <c r="F22" s="107">
        <f>SUM(F20:F21)</f>
        <v>22.770000000000003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4.25">
      <c r="A29" s="41" t="s">
        <v>115</v>
      </c>
      <c r="B29" s="36" t="s">
        <v>116</v>
      </c>
      <c r="C29" s="39">
        <v>9.68</v>
      </c>
      <c r="D29" s="39">
        <v>152.6</v>
      </c>
      <c r="E29" s="40">
        <f>(C29*D29)</f>
        <v>1477.168</v>
      </c>
      <c r="F29" s="40">
        <f>(E29*0.0069)</f>
        <v>10.192459199999998</v>
      </c>
      <c r="G29" s="28"/>
      <c r="H29" s="41" t="s">
        <v>117</v>
      </c>
      <c r="I29" s="36" t="s">
        <v>116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57</v>
      </c>
      <c r="C32" s="45">
        <v>130</v>
      </c>
      <c r="D32" s="45">
        <v>0.24</v>
      </c>
      <c r="E32" s="40">
        <f>(C32*D32)</f>
        <v>31.2</v>
      </c>
      <c r="F32" s="40">
        <f>(E32*0.0069)</f>
        <v>0.21528</v>
      </c>
      <c r="G32" s="28"/>
      <c r="H32" s="4" t="s">
        <v>58</v>
      </c>
      <c r="I32" s="16" t="s">
        <v>57</v>
      </c>
      <c r="J32" s="30"/>
      <c r="K32" s="30"/>
      <c r="L32" s="3">
        <f>(J32*K32)</f>
        <v>0</v>
      </c>
    </row>
    <row r="33" spans="1:12" ht="12.75" customHeight="1">
      <c r="A33" s="41" t="s">
        <v>99</v>
      </c>
      <c r="B33" s="44" t="s">
        <v>57</v>
      </c>
      <c r="C33" s="45">
        <v>20</v>
      </c>
      <c r="D33" s="45">
        <v>0.27</v>
      </c>
      <c r="E33" s="40">
        <f>(C33*D33)</f>
        <v>5.4</v>
      </c>
      <c r="F33" s="40">
        <f>(E33*0.0069)</f>
        <v>0.03726</v>
      </c>
      <c r="G33" s="28"/>
      <c r="H33" s="4" t="s">
        <v>37</v>
      </c>
      <c r="I33" s="16" t="s">
        <v>57</v>
      </c>
      <c r="J33" s="30"/>
      <c r="K33" s="30"/>
      <c r="L33" s="3">
        <f>(J33*K33)</f>
        <v>0</v>
      </c>
    </row>
    <row r="34" spans="1:12" ht="12.75" customHeight="1">
      <c r="A34" s="41" t="s">
        <v>59</v>
      </c>
      <c r="B34" s="44" t="s">
        <v>57</v>
      </c>
      <c r="C34" s="45">
        <v>35</v>
      </c>
      <c r="D34" s="45">
        <v>0.22</v>
      </c>
      <c r="E34" s="40">
        <f>(C34*D34)</f>
        <v>7.7</v>
      </c>
      <c r="F34" s="40">
        <f>(E34*0.0069)</f>
        <v>0.053130000000000004</v>
      </c>
      <c r="G34" s="28"/>
      <c r="H34" s="4" t="s">
        <v>59</v>
      </c>
      <c r="I34" s="16" t="s">
        <v>57</v>
      </c>
      <c r="J34" s="30"/>
      <c r="K34" s="30"/>
      <c r="L34" s="3">
        <f>(J34*K34)</f>
        <v>0</v>
      </c>
    </row>
    <row r="35" spans="1:12" ht="12.75">
      <c r="A35" s="41" t="s">
        <v>83</v>
      </c>
      <c r="B35" s="36" t="s">
        <v>1</v>
      </c>
      <c r="C35" s="39">
        <v>1</v>
      </c>
      <c r="D35" s="39">
        <v>2</v>
      </c>
      <c r="E35" s="40">
        <f>(C35*D35)</f>
        <v>2</v>
      </c>
      <c r="F35" s="40">
        <f>(E35*0.0069)</f>
        <v>0.0138</v>
      </c>
      <c r="G35" s="28"/>
      <c r="H35" s="4" t="s">
        <v>93</v>
      </c>
      <c r="I35" s="2" t="s">
        <v>94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118</v>
      </c>
      <c r="B39" s="36" t="s">
        <v>67</v>
      </c>
      <c r="C39" s="39">
        <v>0.17</v>
      </c>
      <c r="D39" s="39">
        <v>38</v>
      </c>
      <c r="E39" s="40">
        <f>(C39*D39)*2</f>
        <v>12.920000000000002</v>
      </c>
      <c r="F39" s="40">
        <f>(E39*0.0069)</f>
        <v>0.089148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41" t="s">
        <v>119</v>
      </c>
      <c r="B40" s="36" t="s">
        <v>89</v>
      </c>
      <c r="C40" s="39">
        <v>0.67</v>
      </c>
      <c r="D40" s="39">
        <v>14.25</v>
      </c>
      <c r="E40" s="40">
        <f>(C40*D40)</f>
        <v>9.547500000000001</v>
      </c>
      <c r="F40" s="40">
        <f>(E40*0.0069)</f>
        <v>0.06587775000000001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 t="s">
        <v>120</v>
      </c>
      <c r="B41" s="36" t="s">
        <v>121</v>
      </c>
      <c r="C41" s="39">
        <v>1.5</v>
      </c>
      <c r="D41" s="39">
        <v>12.75</v>
      </c>
      <c r="E41" s="40">
        <f>(C41*D41)</f>
        <v>19.125</v>
      </c>
      <c r="F41" s="40">
        <f>(E41*0.0069)</f>
        <v>0.1319625</v>
      </c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 t="s">
        <v>122</v>
      </c>
      <c r="B42" s="36" t="s">
        <v>67</v>
      </c>
      <c r="C42" s="39">
        <v>0.25</v>
      </c>
      <c r="D42" s="39">
        <v>18.55</v>
      </c>
      <c r="E42" s="40">
        <f>(C42*D42)</f>
        <v>4.6375</v>
      </c>
      <c r="F42" s="40">
        <f>(E42*0.0069)</f>
        <v>0.03199875</v>
      </c>
      <c r="G42" s="28"/>
      <c r="H42" s="5"/>
      <c r="I42" s="2"/>
      <c r="J42" s="3"/>
      <c r="K42" s="3"/>
      <c r="L42" s="3"/>
    </row>
    <row r="43" spans="1:12" ht="12.75">
      <c r="A43" s="41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123</v>
      </c>
      <c r="B45" s="36" t="s">
        <v>67</v>
      </c>
      <c r="C45" s="39">
        <v>0.25</v>
      </c>
      <c r="D45" s="39">
        <v>55</v>
      </c>
      <c r="E45" s="40">
        <f>(C45*D45)*3</f>
        <v>41.25</v>
      </c>
      <c r="F45" s="40">
        <f>(E45*0.0069)</f>
        <v>0.284625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68</v>
      </c>
      <c r="B49" s="36"/>
      <c r="C49" s="39"/>
      <c r="D49" s="39"/>
      <c r="E49" s="40"/>
      <c r="F49" s="40"/>
      <c r="G49" s="28"/>
      <c r="H49" s="5" t="s">
        <v>68</v>
      </c>
      <c r="I49" s="2"/>
      <c r="J49" s="3"/>
      <c r="K49" s="3"/>
      <c r="L49" s="3"/>
    </row>
    <row r="50" spans="1:12" ht="12.75">
      <c r="A50" s="41" t="s">
        <v>124</v>
      </c>
      <c r="B50" s="44" t="s">
        <v>57</v>
      </c>
      <c r="C50" s="39">
        <v>2</v>
      </c>
      <c r="D50" s="39">
        <v>4.25</v>
      </c>
      <c r="E50" s="40">
        <f>(C50*D50)*3</f>
        <v>25.5</v>
      </c>
      <c r="F50" s="40">
        <f>(E50*0.0069)</f>
        <v>0.17595</v>
      </c>
      <c r="G50" s="28"/>
      <c r="H50" s="30"/>
      <c r="I50" s="30"/>
      <c r="J50" s="30"/>
      <c r="K50" s="30"/>
      <c r="L50" s="3">
        <f>(J50*K50)</f>
        <v>0</v>
      </c>
    </row>
    <row r="51" spans="7:12" ht="12.75"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83" customFormat="1" ht="12.75">
      <c r="A53" s="110"/>
      <c r="B53" s="111"/>
      <c r="C53" s="112"/>
      <c r="D53" s="112"/>
      <c r="E53" s="46"/>
      <c r="F53" s="46"/>
      <c r="G53" s="113"/>
      <c r="H53" s="57"/>
      <c r="I53" s="57"/>
      <c r="J53" s="57"/>
      <c r="K53" s="57"/>
      <c r="L53" s="114"/>
    </row>
    <row r="54" spans="1:12" ht="12.75">
      <c r="A54" s="43" t="s">
        <v>97</v>
      </c>
      <c r="B54" s="36"/>
      <c r="C54" s="39"/>
      <c r="D54" s="39"/>
      <c r="E54" s="40"/>
      <c r="F54" s="40"/>
      <c r="G54" s="28"/>
      <c r="H54" s="5" t="s">
        <v>97</v>
      </c>
      <c r="I54" s="2"/>
      <c r="J54" s="3"/>
      <c r="K54" s="3"/>
      <c r="L54" s="3"/>
    </row>
    <row r="55" spans="1:12" ht="12.75">
      <c r="A55" s="43"/>
      <c r="B55" s="36"/>
      <c r="C55" s="39"/>
      <c r="D55" s="39"/>
      <c r="E55" s="40"/>
      <c r="F55" s="40"/>
      <c r="G55" s="28"/>
      <c r="H55" s="5"/>
      <c r="I55" s="2"/>
      <c r="J55" s="3"/>
      <c r="K55" s="3"/>
      <c r="L55" s="3"/>
    </row>
    <row r="56" spans="1:12" ht="12.75">
      <c r="A56" s="41" t="s">
        <v>88</v>
      </c>
      <c r="B56" s="36"/>
      <c r="C56" s="39">
        <v>0</v>
      </c>
      <c r="D56" s="56">
        <v>0</v>
      </c>
      <c r="E56" s="40">
        <f>(C56*D56)</f>
        <v>0</v>
      </c>
      <c r="F56" s="40">
        <f>(E56*0.0069)</f>
        <v>0</v>
      </c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ht="12.75">
      <c r="A58" s="41"/>
      <c r="B58" s="36"/>
      <c r="C58" s="39"/>
      <c r="D58" s="56"/>
      <c r="E58" s="40"/>
      <c r="F58" s="40"/>
      <c r="G58" s="28"/>
      <c r="H58" s="30"/>
      <c r="I58" s="30"/>
      <c r="J58" s="30"/>
      <c r="K58" s="30"/>
      <c r="L58" s="3">
        <f>(J58*K58)</f>
        <v>0</v>
      </c>
    </row>
    <row r="59" spans="1:12" s="83" customFormat="1" ht="12.75">
      <c r="A59" s="110"/>
      <c r="B59" s="111"/>
      <c r="C59" s="112"/>
      <c r="D59" s="112"/>
      <c r="E59" s="46"/>
      <c r="F59" s="46"/>
      <c r="G59" s="113"/>
      <c r="H59" s="121"/>
      <c r="I59" s="122"/>
      <c r="J59" s="122"/>
      <c r="K59" s="122"/>
      <c r="L59" s="114"/>
    </row>
    <row r="60" spans="1:12" s="83" customFormat="1" ht="12.75">
      <c r="A60" s="43" t="s">
        <v>98</v>
      </c>
      <c r="B60" s="111"/>
      <c r="C60" s="112"/>
      <c r="D60" s="112"/>
      <c r="E60" s="46"/>
      <c r="F60" s="46"/>
      <c r="G60" s="113"/>
      <c r="H60" s="43" t="s">
        <v>98</v>
      </c>
      <c r="I60" s="57"/>
      <c r="J60" s="57"/>
      <c r="K60" s="57"/>
      <c r="L60" s="114"/>
    </row>
    <row r="61" spans="1:12" ht="12.75">
      <c r="A61" s="41" t="s">
        <v>66</v>
      </c>
      <c r="B61" s="36" t="s">
        <v>62</v>
      </c>
      <c r="C61" s="39">
        <v>77.5</v>
      </c>
      <c r="D61" s="39">
        <v>10</v>
      </c>
      <c r="E61" s="40">
        <f>(C61*D61)</f>
        <v>775</v>
      </c>
      <c r="F61" s="40">
        <f>(E61*0.0069)</f>
        <v>5.3475</v>
      </c>
      <c r="G61" s="28"/>
      <c r="H61" s="41" t="s">
        <v>66</v>
      </c>
      <c r="I61" s="36" t="s">
        <v>62</v>
      </c>
      <c r="J61" s="30"/>
      <c r="K61" s="30"/>
      <c r="L61" s="3">
        <f>(J61*K61)</f>
        <v>0</v>
      </c>
    </row>
    <row r="62" spans="1:12" ht="12.75">
      <c r="A62" s="41" t="s">
        <v>61</v>
      </c>
      <c r="B62" s="36" t="s">
        <v>65</v>
      </c>
      <c r="C62" s="39">
        <v>12</v>
      </c>
      <c r="D62" s="39">
        <v>6.42</v>
      </c>
      <c r="E62" s="40">
        <f>(C62*D62)</f>
        <v>77.03999999999999</v>
      </c>
      <c r="F62" s="40">
        <f>(E62*0.0069)</f>
        <v>0.5315759999999999</v>
      </c>
      <c r="G62" s="28"/>
      <c r="H62" s="41" t="s">
        <v>61</v>
      </c>
      <c r="I62" s="36" t="s">
        <v>65</v>
      </c>
      <c r="J62" s="30"/>
      <c r="K62" s="30"/>
      <c r="L62" s="3">
        <f>(J62*K62)</f>
        <v>0</v>
      </c>
    </row>
    <row r="63" spans="1:12" ht="12.75">
      <c r="A63" s="41" t="s">
        <v>84</v>
      </c>
      <c r="B63" s="36" t="s">
        <v>62</v>
      </c>
      <c r="C63" s="39">
        <v>40</v>
      </c>
      <c r="D63" s="39">
        <v>10</v>
      </c>
      <c r="E63" s="40">
        <f>(C63*D63)</f>
        <v>400</v>
      </c>
      <c r="F63" s="40">
        <f>(E63*0.0069)</f>
        <v>2.76</v>
      </c>
      <c r="G63" s="28"/>
      <c r="H63" s="41" t="s">
        <v>85</v>
      </c>
      <c r="I63" s="36" t="s">
        <v>62</v>
      </c>
      <c r="J63" s="30"/>
      <c r="K63" s="30"/>
      <c r="L63" s="3">
        <f>(J63*K63)</f>
        <v>0</v>
      </c>
    </row>
    <row r="64" spans="1:12" ht="12.75">
      <c r="A64" s="41" t="s">
        <v>63</v>
      </c>
      <c r="B64" s="36" t="s">
        <v>64</v>
      </c>
      <c r="C64" s="39">
        <v>500</v>
      </c>
      <c r="D64" s="56">
        <v>0.56</v>
      </c>
      <c r="E64" s="40">
        <f>(C64*D64)</f>
        <v>280</v>
      </c>
      <c r="F64" s="40">
        <f>(E64*0.0069)</f>
        <v>1.932</v>
      </c>
      <c r="G64" s="28"/>
      <c r="H64" s="41" t="s">
        <v>63</v>
      </c>
      <c r="I64" s="36" t="s">
        <v>64</v>
      </c>
      <c r="J64" s="30"/>
      <c r="K64" s="30"/>
      <c r="L64" s="3">
        <f>(J64*K64)</f>
        <v>0</v>
      </c>
    </row>
    <row r="65" spans="1:12" ht="12.75">
      <c r="A65" s="41"/>
      <c r="B65" s="36"/>
      <c r="C65" s="39"/>
      <c r="D65" s="39"/>
      <c r="E65" s="40"/>
      <c r="F65" s="40"/>
      <c r="G65" s="28"/>
      <c r="H65" s="4"/>
      <c r="I65" s="2"/>
      <c r="J65" s="3"/>
      <c r="K65" s="3"/>
      <c r="L65" s="3"/>
    </row>
    <row r="66" spans="1:12" ht="12.75">
      <c r="A66" s="43"/>
      <c r="B66" s="36"/>
      <c r="C66" s="39"/>
      <c r="D66" s="39"/>
      <c r="E66" s="40"/>
      <c r="F66" s="40"/>
      <c r="G66" s="28"/>
      <c r="H66" s="5"/>
      <c r="I66" s="2"/>
      <c r="J66" s="3"/>
      <c r="K66" s="3"/>
      <c r="L66" s="3"/>
    </row>
    <row r="67" spans="1:12" ht="12.75">
      <c r="A67" s="5" t="s">
        <v>69</v>
      </c>
      <c r="B67" s="2" t="s">
        <v>10</v>
      </c>
      <c r="C67" s="3">
        <v>6.67</v>
      </c>
      <c r="D67" s="3">
        <v>10</v>
      </c>
      <c r="E67" s="59">
        <f>(C67*D67)</f>
        <v>66.7</v>
      </c>
      <c r="F67" s="40">
        <f>(E67*0.0069)</f>
        <v>0.46023000000000003</v>
      </c>
      <c r="G67" s="28"/>
      <c r="H67" s="5" t="s">
        <v>69</v>
      </c>
      <c r="I67" s="2" t="s">
        <v>10</v>
      </c>
      <c r="J67" s="30"/>
      <c r="K67" s="30"/>
      <c r="L67" s="59">
        <f>(J67*K67)</f>
        <v>0</v>
      </c>
    </row>
    <row r="68" spans="1:12" ht="12.75">
      <c r="A68" s="5" t="s">
        <v>70</v>
      </c>
      <c r="B68" s="2"/>
      <c r="C68" s="58">
        <f>(E67)</f>
        <v>66.7</v>
      </c>
      <c r="D68" s="8">
        <v>0.0765</v>
      </c>
      <c r="E68" s="59">
        <f>(C68*D68)</f>
        <v>5.10255</v>
      </c>
      <c r="F68" s="40">
        <f>(E68*0.0069)</f>
        <v>0.035207595</v>
      </c>
      <c r="G68" s="28"/>
      <c r="H68" s="5" t="s">
        <v>70</v>
      </c>
      <c r="I68" s="2"/>
      <c r="J68" s="58">
        <f>(L67)</f>
        <v>0</v>
      </c>
      <c r="K68" s="8">
        <v>0.0765</v>
      </c>
      <c r="L68" s="59">
        <f>(J68*K68)</f>
        <v>0</v>
      </c>
    </row>
    <row r="69" spans="1:12" ht="12.75">
      <c r="A69" s="43"/>
      <c r="B69" s="36"/>
      <c r="C69" s="39"/>
      <c r="D69" s="39"/>
      <c r="E69" s="40"/>
      <c r="F69" s="40"/>
      <c r="G69" s="28"/>
      <c r="H69" s="5"/>
      <c r="I69" s="2"/>
      <c r="J69" s="3"/>
      <c r="K69" s="3"/>
      <c r="L69" s="3"/>
    </row>
    <row r="70" spans="1:12" ht="12.75">
      <c r="A70" s="43" t="s">
        <v>43</v>
      </c>
      <c r="B70" s="36"/>
      <c r="C70" s="39"/>
      <c r="D70" s="39"/>
      <c r="E70" s="40"/>
      <c r="F70" s="40"/>
      <c r="G70" s="28"/>
      <c r="H70" s="5" t="s">
        <v>43</v>
      </c>
      <c r="I70" s="2"/>
      <c r="J70" s="3"/>
      <c r="K70" s="3"/>
      <c r="L70" s="3"/>
    </row>
    <row r="71" spans="1:12" ht="12.75">
      <c r="A71" s="7" t="s">
        <v>137</v>
      </c>
      <c r="B71" s="36" t="s">
        <v>67</v>
      </c>
      <c r="C71" s="39">
        <v>3.87</v>
      </c>
      <c r="D71" s="39">
        <v>3.52</v>
      </c>
      <c r="E71" s="40">
        <f>(C71*D71)</f>
        <v>13.6224</v>
      </c>
      <c r="F71" s="40">
        <f>(E71*0.0069)</f>
        <v>0.09399456</v>
      </c>
      <c r="G71" s="28"/>
      <c r="H71" s="5" t="s">
        <v>41</v>
      </c>
      <c r="I71" s="36" t="s">
        <v>67</v>
      </c>
      <c r="J71" s="30"/>
      <c r="K71" s="30"/>
      <c r="L71" s="3">
        <f>(J71*K71)</f>
        <v>0</v>
      </c>
    </row>
    <row r="72" spans="1:12" ht="12.75">
      <c r="A72" s="7" t="s">
        <v>138</v>
      </c>
      <c r="B72" s="36" t="s">
        <v>67</v>
      </c>
      <c r="C72" s="39">
        <v>13.63</v>
      </c>
      <c r="D72" s="39">
        <v>3.21</v>
      </c>
      <c r="E72" s="40">
        <f>(C72*D72)</f>
        <v>43.752300000000005</v>
      </c>
      <c r="F72" s="40">
        <f>(E72*0.0069)</f>
        <v>0.30189087000000003</v>
      </c>
      <c r="G72" s="28"/>
      <c r="H72" s="5" t="s">
        <v>42</v>
      </c>
      <c r="I72" s="36" t="s">
        <v>67</v>
      </c>
      <c r="J72" s="30"/>
      <c r="K72" s="30"/>
      <c r="L72" s="3">
        <f>(J72*K72)</f>
        <v>0</v>
      </c>
    </row>
    <row r="73" spans="1:12" ht="12.75">
      <c r="A73" s="43" t="s">
        <v>15</v>
      </c>
      <c r="B73" s="36" t="s">
        <v>44</v>
      </c>
      <c r="C73" s="39">
        <v>622.67</v>
      </c>
      <c r="D73" s="56">
        <v>0.121</v>
      </c>
      <c r="E73" s="40">
        <f>(C73*D73)</f>
        <v>75.34307</v>
      </c>
      <c r="F73" s="40">
        <f>(E73*0.0069)</f>
        <v>0.519867183</v>
      </c>
      <c r="G73" s="28"/>
      <c r="H73" s="5" t="s">
        <v>15</v>
      </c>
      <c r="I73" s="2" t="s">
        <v>44</v>
      </c>
      <c r="J73" s="30"/>
      <c r="K73" s="30"/>
      <c r="L73" s="3">
        <f>(J73*K73)</f>
        <v>0</v>
      </c>
    </row>
    <row r="74" spans="1:12" ht="12.75">
      <c r="A74" s="43" t="s">
        <v>86</v>
      </c>
      <c r="B74" s="36" t="s">
        <v>87</v>
      </c>
      <c r="C74" s="39">
        <v>0</v>
      </c>
      <c r="D74" s="115">
        <v>0</v>
      </c>
      <c r="E74" s="40">
        <f>(C74*D74)</f>
        <v>0</v>
      </c>
      <c r="F74" s="40">
        <f>(E74*0.0069)</f>
        <v>0</v>
      </c>
      <c r="G74" s="28"/>
      <c r="H74" s="43" t="s">
        <v>86</v>
      </c>
      <c r="I74" s="36" t="s">
        <v>87</v>
      </c>
      <c r="J74" s="30"/>
      <c r="K74" s="30"/>
      <c r="L74" s="3">
        <f>(J74*K74)</f>
        <v>0</v>
      </c>
    </row>
    <row r="75" spans="1:12" ht="12.75">
      <c r="A75" s="43" t="s">
        <v>16</v>
      </c>
      <c r="B75" s="36" t="s">
        <v>1</v>
      </c>
      <c r="C75" s="39">
        <v>1</v>
      </c>
      <c r="D75" s="39">
        <f>(E71+E72+E74)*0.15</f>
        <v>8.606205000000001</v>
      </c>
      <c r="E75" s="40">
        <f>(C75*D75)</f>
        <v>8.606205000000001</v>
      </c>
      <c r="F75" s="40">
        <f>(E75*0.0069)</f>
        <v>0.059382814500000006</v>
      </c>
      <c r="G75" s="28"/>
      <c r="H75" s="5" t="s">
        <v>16</v>
      </c>
      <c r="I75" s="2" t="s">
        <v>94</v>
      </c>
      <c r="J75" s="30"/>
      <c r="K75" s="30"/>
      <c r="L75" s="3">
        <f>(J75*K75)</f>
        <v>0</v>
      </c>
    </row>
    <row r="76" spans="1:12" ht="12.75">
      <c r="A76" s="43"/>
      <c r="B76" s="36"/>
      <c r="C76" s="39"/>
      <c r="D76" s="39"/>
      <c r="E76" s="40"/>
      <c r="F76" s="40"/>
      <c r="G76" s="28"/>
      <c r="H76" s="5"/>
      <c r="I76" s="2"/>
      <c r="J76" s="3"/>
      <c r="K76" s="3"/>
      <c r="L76" s="3"/>
    </row>
    <row r="77" spans="1:12" ht="12.75">
      <c r="A77" s="43" t="s">
        <v>45</v>
      </c>
      <c r="B77" s="36"/>
      <c r="C77" s="36"/>
      <c r="D77" s="36"/>
      <c r="E77" s="37"/>
      <c r="F77" s="37"/>
      <c r="G77" s="27"/>
      <c r="H77" s="5" t="s">
        <v>45</v>
      </c>
      <c r="I77" s="2"/>
      <c r="J77" s="2"/>
      <c r="K77" s="2"/>
      <c r="L77" s="2"/>
    </row>
    <row r="78" spans="1:12" ht="12.75">
      <c r="A78" s="43" t="s">
        <v>46</v>
      </c>
      <c r="B78" s="36" t="s">
        <v>1</v>
      </c>
      <c r="C78" s="39">
        <v>1</v>
      </c>
      <c r="D78" s="39">
        <v>7.32</v>
      </c>
      <c r="E78" s="40">
        <f>(C78*D78)</f>
        <v>7.32</v>
      </c>
      <c r="F78" s="40">
        <f>(E78*0.0069)</f>
        <v>0.050508000000000004</v>
      </c>
      <c r="G78" s="28"/>
      <c r="H78" s="5" t="s">
        <v>46</v>
      </c>
      <c r="I78" s="2" t="s">
        <v>94</v>
      </c>
      <c r="J78" s="30"/>
      <c r="K78" s="30"/>
      <c r="L78" s="3">
        <f>(J78*K78)</f>
        <v>0</v>
      </c>
    </row>
    <row r="79" spans="1:12" ht="12.75">
      <c r="A79" s="43" t="s">
        <v>47</v>
      </c>
      <c r="B79" s="36" t="s">
        <v>1</v>
      </c>
      <c r="C79" s="39">
        <v>1</v>
      </c>
      <c r="D79" s="39">
        <v>24.34</v>
      </c>
      <c r="E79" s="40">
        <f>(C79*D79)</f>
        <v>24.34</v>
      </c>
      <c r="F79" s="40">
        <f>(E79*0.0069)</f>
        <v>0.16794599999999998</v>
      </c>
      <c r="G79" s="28"/>
      <c r="H79" s="5" t="s">
        <v>47</v>
      </c>
      <c r="I79" s="2" t="s">
        <v>94</v>
      </c>
      <c r="J79" s="30"/>
      <c r="K79" s="30"/>
      <c r="L79" s="3">
        <f>(J79*K79)</f>
        <v>0</v>
      </c>
    </row>
    <row r="80" spans="1:12" ht="14.25">
      <c r="A80" s="43" t="s">
        <v>130</v>
      </c>
      <c r="B80" s="36" t="s">
        <v>1</v>
      </c>
      <c r="C80" s="39">
        <v>1</v>
      </c>
      <c r="D80" s="39">
        <v>56.51</v>
      </c>
      <c r="E80" s="40">
        <f>(C80*D80)</f>
        <v>56.51</v>
      </c>
      <c r="F80" s="40">
        <f>(E80*0.0069)</f>
        <v>0.38991899999999996</v>
      </c>
      <c r="G80" s="28"/>
      <c r="H80" s="5" t="s">
        <v>48</v>
      </c>
      <c r="I80" s="2" t="s">
        <v>94</v>
      </c>
      <c r="J80" s="30"/>
      <c r="K80" s="30"/>
      <c r="L80" s="3">
        <f>(J80*K80)</f>
        <v>0</v>
      </c>
    </row>
    <row r="81" spans="1:12" ht="12.75">
      <c r="A81" s="43"/>
      <c r="B81" s="36"/>
      <c r="C81" s="39"/>
      <c r="D81" s="39"/>
      <c r="E81" s="40"/>
      <c r="F81" s="40"/>
      <c r="G81" s="28"/>
      <c r="H81" s="5"/>
      <c r="I81" s="2"/>
      <c r="J81" s="23"/>
      <c r="K81" s="23"/>
      <c r="L81" s="3"/>
    </row>
    <row r="82" spans="1:12" ht="14.25">
      <c r="A82" s="43"/>
      <c r="B82" s="36"/>
      <c r="C82" s="39"/>
      <c r="D82" s="39"/>
      <c r="E82" s="40"/>
      <c r="F82" s="40"/>
      <c r="G82" s="28"/>
      <c r="H82" s="5" t="s">
        <v>131</v>
      </c>
      <c r="I82" s="2" t="s">
        <v>94</v>
      </c>
      <c r="J82" s="30"/>
      <c r="K82" s="30"/>
      <c r="L82" s="3">
        <f>(J82*K82)</f>
        <v>0</v>
      </c>
    </row>
    <row r="83" spans="1:12" ht="12.75">
      <c r="A83" s="43"/>
      <c r="B83" s="36"/>
      <c r="C83" s="39"/>
      <c r="D83" s="39"/>
      <c r="E83" s="40"/>
      <c r="F83" s="40"/>
      <c r="G83" s="28"/>
      <c r="H83" s="5"/>
      <c r="I83" s="2"/>
      <c r="J83" s="3"/>
      <c r="K83" s="3"/>
      <c r="L83" s="3"/>
    </row>
    <row r="84" spans="1:12" ht="12.75">
      <c r="A84" s="41" t="s">
        <v>11</v>
      </c>
      <c r="B84" s="36"/>
      <c r="C84" s="39"/>
      <c r="D84" s="39"/>
      <c r="E84" s="107">
        <f>SUM(E29:E80)</f>
        <v>3469.784525000001</v>
      </c>
      <c r="F84" s="46">
        <f>SUM(F29:F80)</f>
        <v>23.941513222499996</v>
      </c>
      <c r="G84" s="28"/>
      <c r="H84" s="4" t="s">
        <v>11</v>
      </c>
      <c r="I84" s="2"/>
      <c r="J84" s="3"/>
      <c r="K84" s="3"/>
      <c r="L84" s="3">
        <f>SUM(L29:L82)</f>
        <v>0</v>
      </c>
    </row>
    <row r="85" spans="1:12" ht="12.75">
      <c r="A85" s="43"/>
      <c r="B85" s="36"/>
      <c r="C85" s="39"/>
      <c r="D85" s="39"/>
      <c r="E85" s="40"/>
      <c r="F85" s="40"/>
      <c r="G85" s="28"/>
      <c r="H85" s="5"/>
      <c r="I85" s="2"/>
      <c r="J85" s="3"/>
      <c r="K85" s="3"/>
      <c r="L85" s="3"/>
    </row>
    <row r="86" spans="1:12" ht="12.75">
      <c r="A86" s="41" t="s">
        <v>7</v>
      </c>
      <c r="B86" s="36" t="s">
        <v>1</v>
      </c>
      <c r="C86" s="125">
        <f>(E84)</f>
        <v>3469.784525000001</v>
      </c>
      <c r="D86" s="47">
        <v>0.0399</v>
      </c>
      <c r="E86" s="40">
        <f>(C86*D86)/2</f>
        <v>69.22220127375002</v>
      </c>
      <c r="F86" s="40">
        <f>(E86*0.0069)</f>
        <v>0.4776331887888751</v>
      </c>
      <c r="G86" s="28"/>
      <c r="H86" s="4" t="s">
        <v>7</v>
      </c>
      <c r="I86" s="2" t="s">
        <v>94</v>
      </c>
      <c r="J86" s="105"/>
      <c r="K86" s="82">
        <f>(L84)</f>
        <v>0</v>
      </c>
      <c r="L86" s="3">
        <f>(J86*K86)/2</f>
        <v>0</v>
      </c>
    </row>
    <row r="87" spans="1:12" ht="12.75">
      <c r="A87" s="41"/>
      <c r="B87" s="36"/>
      <c r="C87" s="39"/>
      <c r="D87" s="47"/>
      <c r="E87" s="40"/>
      <c r="F87" s="40"/>
      <c r="G87" s="28"/>
      <c r="H87" s="81" t="s">
        <v>134</v>
      </c>
      <c r="I87" s="2"/>
      <c r="J87" s="23"/>
      <c r="K87" s="80"/>
      <c r="L87" s="3"/>
    </row>
    <row r="88" spans="1:12" ht="12.75">
      <c r="A88" s="41"/>
      <c r="B88" s="36"/>
      <c r="C88" s="39"/>
      <c r="D88" s="47"/>
      <c r="E88" s="40"/>
      <c r="F88" s="40"/>
      <c r="G88" s="28"/>
      <c r="H88" s="4"/>
      <c r="I88" s="2"/>
      <c r="J88" s="3"/>
      <c r="K88" s="8"/>
      <c r="L88" s="3"/>
    </row>
    <row r="89" spans="1:13" ht="12.75">
      <c r="A89" s="109" t="s">
        <v>105</v>
      </c>
      <c r="B89" s="36"/>
      <c r="C89" s="39"/>
      <c r="D89" s="47"/>
      <c r="E89" s="118">
        <f>SUM(E84:E88)</f>
        <v>3539.006726273751</v>
      </c>
      <c r="F89" s="50">
        <f>SUM(F84:F86)</f>
        <v>24.41914641128887</v>
      </c>
      <c r="G89" s="28"/>
      <c r="H89" s="109" t="s">
        <v>106</v>
      </c>
      <c r="I89" s="36"/>
      <c r="J89" s="39"/>
      <c r="K89" s="47"/>
      <c r="L89" s="50">
        <f>SUM(L84:L86)</f>
        <v>0</v>
      </c>
      <c r="M89" s="50"/>
    </row>
    <row r="90" spans="1:12" ht="12.75">
      <c r="A90" s="41"/>
      <c r="B90" s="36"/>
      <c r="C90" s="39"/>
      <c r="D90" s="47"/>
      <c r="E90" s="40"/>
      <c r="F90" s="40"/>
      <c r="G90" s="28"/>
      <c r="H90" s="4"/>
      <c r="I90" s="2"/>
      <c r="J90" s="3"/>
      <c r="K90" s="8"/>
      <c r="L90" s="3"/>
    </row>
    <row r="91" spans="1:12" ht="12.75">
      <c r="A91" s="48" t="s">
        <v>126</v>
      </c>
      <c r="B91" s="36"/>
      <c r="C91" s="39"/>
      <c r="D91" s="47"/>
      <c r="E91" s="50">
        <f>(E89/C20)</f>
        <v>1.179668908757917</v>
      </c>
      <c r="F91" s="50">
        <f>(F89)/(C20*0.0069)</f>
        <v>1.1796689087579164</v>
      </c>
      <c r="G91" s="28"/>
      <c r="H91" s="109" t="s">
        <v>126</v>
      </c>
      <c r="I91" s="2"/>
      <c r="J91" s="3"/>
      <c r="K91" s="8"/>
      <c r="L91" s="50" t="e">
        <f>(L89/J20)</f>
        <v>#DIV/0!</v>
      </c>
    </row>
    <row r="92" spans="1:12" ht="12.75">
      <c r="A92" s="43"/>
      <c r="B92" s="36"/>
      <c r="C92" s="39"/>
      <c r="D92" s="39"/>
      <c r="E92" s="40"/>
      <c r="F92" s="40"/>
      <c r="G92" s="28"/>
      <c r="H92" s="5"/>
      <c r="I92" s="2"/>
      <c r="J92" s="3"/>
      <c r="K92" s="3"/>
      <c r="L92" s="3"/>
    </row>
    <row r="93" spans="1:12" ht="12.75">
      <c r="A93" s="38" t="s">
        <v>8</v>
      </c>
      <c r="B93" s="36"/>
      <c r="C93" s="39"/>
      <c r="D93" s="39"/>
      <c r="E93" s="40"/>
      <c r="F93" s="40"/>
      <c r="G93" s="28"/>
      <c r="H93" s="9" t="s">
        <v>8</v>
      </c>
      <c r="I93" s="2"/>
      <c r="J93" s="3"/>
      <c r="K93" s="3"/>
      <c r="L93" s="3"/>
    </row>
    <row r="94" spans="1:12" ht="12.75">
      <c r="A94" s="43"/>
      <c r="B94" s="36"/>
      <c r="C94" s="39"/>
      <c r="D94" s="39"/>
      <c r="E94" s="40"/>
      <c r="F94" s="40"/>
      <c r="G94" s="28"/>
      <c r="H94" s="5"/>
      <c r="I94" s="2"/>
      <c r="J94" s="3"/>
      <c r="K94" s="3"/>
      <c r="L94" s="3"/>
    </row>
    <row r="95" spans="1:12" ht="12.75">
      <c r="A95" s="35"/>
      <c r="B95" s="117" t="s">
        <v>2</v>
      </c>
      <c r="C95" s="119" t="s">
        <v>3</v>
      </c>
      <c r="D95" s="119" t="s">
        <v>4</v>
      </c>
      <c r="E95" s="118" t="s">
        <v>5</v>
      </c>
      <c r="F95" s="12" t="s">
        <v>90</v>
      </c>
      <c r="G95" s="27"/>
      <c r="I95" s="12" t="s">
        <v>2</v>
      </c>
      <c r="J95" s="12" t="s">
        <v>3</v>
      </c>
      <c r="K95" s="12" t="s">
        <v>4</v>
      </c>
      <c r="L95" s="21" t="s">
        <v>5</v>
      </c>
    </row>
    <row r="96" spans="1:12" ht="12.75">
      <c r="A96" s="48"/>
      <c r="B96" s="117"/>
      <c r="C96" s="119" t="s">
        <v>91</v>
      </c>
      <c r="D96" s="119" t="s">
        <v>92</v>
      </c>
      <c r="E96" s="118" t="s">
        <v>6</v>
      </c>
      <c r="F96" s="118" t="s">
        <v>110</v>
      </c>
      <c r="G96" s="27"/>
      <c r="H96" s="6"/>
      <c r="I96" s="12"/>
      <c r="J96" s="12"/>
      <c r="K96" s="12" t="s">
        <v>92</v>
      </c>
      <c r="L96" s="21" t="s">
        <v>0</v>
      </c>
    </row>
    <row r="97" spans="1:12" ht="12.75">
      <c r="A97" s="48"/>
      <c r="B97" s="36"/>
      <c r="C97" s="39"/>
      <c r="D97" s="39"/>
      <c r="E97" s="40"/>
      <c r="F97" s="40"/>
      <c r="G97" s="28"/>
      <c r="H97" s="6"/>
      <c r="I97" s="2"/>
      <c r="J97" s="3"/>
      <c r="K97" s="3"/>
      <c r="L97" s="3"/>
    </row>
    <row r="98" spans="1:12" ht="12.75">
      <c r="A98" s="49" t="s">
        <v>96</v>
      </c>
      <c r="B98" s="36" t="s">
        <v>49</v>
      </c>
      <c r="C98" s="39">
        <v>0</v>
      </c>
      <c r="D98" s="39">
        <v>0</v>
      </c>
      <c r="E98" s="40">
        <f>(C98*D98)</f>
        <v>0</v>
      </c>
      <c r="F98" s="40">
        <f>(E98*0.0069)</f>
        <v>0</v>
      </c>
      <c r="G98" s="28"/>
      <c r="H98" s="7" t="s">
        <v>133</v>
      </c>
      <c r="I98" s="2" t="s">
        <v>49</v>
      </c>
      <c r="J98" s="30"/>
      <c r="K98" s="82">
        <f>(L22)</f>
        <v>0</v>
      </c>
      <c r="L98" s="3">
        <f>(J98*K98)</f>
        <v>0</v>
      </c>
    </row>
    <row r="99" spans="1:12" ht="12.75">
      <c r="A99" s="49"/>
      <c r="B99" s="36"/>
      <c r="C99" s="47"/>
      <c r="D99" s="39"/>
      <c r="E99" s="40"/>
      <c r="F99" s="40"/>
      <c r="G99" s="28"/>
      <c r="H99" s="7"/>
      <c r="I99" s="2"/>
      <c r="J99" s="8"/>
      <c r="K99" s="3"/>
      <c r="L99" s="3"/>
    </row>
    <row r="100" spans="1:12" ht="12.75">
      <c r="A100" s="49" t="s">
        <v>60</v>
      </c>
      <c r="B100" s="36" t="s">
        <v>1</v>
      </c>
      <c r="C100" s="46">
        <v>1</v>
      </c>
      <c r="D100" s="46">
        <v>123.6</v>
      </c>
      <c r="E100" s="40">
        <f>(C100*D100)</f>
        <v>123.6</v>
      </c>
      <c r="F100" s="40">
        <f>(E100*0.0069)</f>
        <v>0.8528399999999999</v>
      </c>
      <c r="G100" s="28"/>
      <c r="H100" s="7" t="s">
        <v>60</v>
      </c>
      <c r="I100" s="2" t="s">
        <v>94</v>
      </c>
      <c r="J100" s="30"/>
      <c r="K100" s="30"/>
      <c r="L100" s="3">
        <f>(J100*K100)</f>
        <v>0</v>
      </c>
    </row>
    <row r="101" spans="1:12" ht="12.75">
      <c r="A101" s="49"/>
      <c r="B101" s="36"/>
      <c r="C101" s="47"/>
      <c r="D101" s="39"/>
      <c r="E101" s="40"/>
      <c r="F101" s="40"/>
      <c r="G101" s="28"/>
      <c r="H101" s="7"/>
      <c r="I101" s="2"/>
      <c r="J101" s="54"/>
      <c r="K101" s="54"/>
      <c r="L101" s="3"/>
    </row>
    <row r="102" spans="1:12" ht="12.75">
      <c r="A102" s="49" t="s">
        <v>9</v>
      </c>
      <c r="B102" s="36" t="s">
        <v>10</v>
      </c>
      <c r="C102" s="39">
        <v>9.48</v>
      </c>
      <c r="D102" s="39">
        <v>10</v>
      </c>
      <c r="E102" s="40">
        <f>(C102*D102)</f>
        <v>94.80000000000001</v>
      </c>
      <c r="F102" s="40">
        <f>(E102*0.0069)</f>
        <v>0.65412</v>
      </c>
      <c r="G102" s="28"/>
      <c r="H102" s="7" t="s">
        <v>9</v>
      </c>
      <c r="I102" s="2" t="s">
        <v>10</v>
      </c>
      <c r="J102" s="30"/>
      <c r="K102" s="30"/>
      <c r="L102" s="3">
        <f>(J102*K102)</f>
        <v>0</v>
      </c>
    </row>
    <row r="103" spans="1:12" ht="12.75">
      <c r="A103" s="49"/>
      <c r="B103" s="36"/>
      <c r="C103" s="39"/>
      <c r="D103" s="39"/>
      <c r="E103" s="40"/>
      <c r="F103" s="40"/>
      <c r="G103" s="28"/>
      <c r="H103" s="7"/>
      <c r="I103" s="2"/>
      <c r="J103" s="3"/>
      <c r="K103" s="3"/>
      <c r="L103" s="3"/>
    </row>
    <row r="104" spans="1:12" ht="12.75">
      <c r="A104" s="49" t="s">
        <v>50</v>
      </c>
      <c r="B104" s="36"/>
      <c r="C104" s="39"/>
      <c r="D104" s="39"/>
      <c r="E104" s="40"/>
      <c r="F104" s="40"/>
      <c r="G104" s="28"/>
      <c r="H104" s="7" t="s">
        <v>50</v>
      </c>
      <c r="I104" s="2"/>
      <c r="J104" s="3"/>
      <c r="K104" s="3"/>
      <c r="L104" s="3"/>
    </row>
    <row r="105" spans="1:12" ht="12.75">
      <c r="A105" s="43" t="s">
        <v>46</v>
      </c>
      <c r="B105" s="36" t="s">
        <v>1</v>
      </c>
      <c r="C105" s="39">
        <v>1</v>
      </c>
      <c r="D105" s="39">
        <v>17.05</v>
      </c>
      <c r="E105" s="40">
        <f>(C105*D105)</f>
        <v>17.05</v>
      </c>
      <c r="F105" s="40">
        <f>(E105*0.0069)</f>
        <v>0.117645</v>
      </c>
      <c r="G105" s="28"/>
      <c r="H105" s="5" t="s">
        <v>46</v>
      </c>
      <c r="I105" s="2" t="s">
        <v>94</v>
      </c>
      <c r="J105" s="30"/>
      <c r="K105" s="30"/>
      <c r="L105" s="3">
        <f>(J105*K105)</f>
        <v>0</v>
      </c>
    </row>
    <row r="106" spans="1:12" ht="12.75">
      <c r="A106" s="43" t="s">
        <v>47</v>
      </c>
      <c r="B106" s="36" t="s">
        <v>1</v>
      </c>
      <c r="C106" s="39">
        <v>1</v>
      </c>
      <c r="D106" s="39">
        <v>13.13</v>
      </c>
      <c r="E106" s="40">
        <f>(C106*D106)</f>
        <v>13.13</v>
      </c>
      <c r="F106" s="40">
        <f>(E106*0.0069)</f>
        <v>0.090597</v>
      </c>
      <c r="G106" s="28"/>
      <c r="H106" s="5" t="s">
        <v>47</v>
      </c>
      <c r="I106" s="2" t="s">
        <v>94</v>
      </c>
      <c r="J106" s="30"/>
      <c r="K106" s="30"/>
      <c r="L106" s="3">
        <f>(J106*K106)</f>
        <v>0</v>
      </c>
    </row>
    <row r="107" spans="1:12" ht="12.75">
      <c r="A107" s="43" t="s">
        <v>48</v>
      </c>
      <c r="B107" s="36" t="s">
        <v>1</v>
      </c>
      <c r="C107" s="39">
        <v>1</v>
      </c>
      <c r="D107" s="39">
        <v>31.34</v>
      </c>
      <c r="E107" s="40">
        <f>(C107*D107)</f>
        <v>31.34</v>
      </c>
      <c r="F107" s="40">
        <f>(E107*0.0069)</f>
        <v>0.216246</v>
      </c>
      <c r="G107" s="28"/>
      <c r="H107" s="5" t="s">
        <v>48</v>
      </c>
      <c r="I107" s="2" t="s">
        <v>94</v>
      </c>
      <c r="J107" s="30"/>
      <c r="K107" s="30"/>
      <c r="L107" s="3">
        <f>(J107*K107)</f>
        <v>0</v>
      </c>
    </row>
    <row r="108" spans="1:12" ht="12.75">
      <c r="A108" s="43"/>
      <c r="B108" s="36"/>
      <c r="C108" s="39"/>
      <c r="D108" s="39"/>
      <c r="E108" s="40"/>
      <c r="F108" s="40"/>
      <c r="G108" s="28"/>
      <c r="H108" s="5"/>
      <c r="I108" s="2"/>
      <c r="J108" s="3"/>
      <c r="K108" s="3"/>
      <c r="L108" s="3"/>
    </row>
    <row r="109" spans="1:12" ht="12.75">
      <c r="A109" s="49" t="s">
        <v>51</v>
      </c>
      <c r="B109" s="36"/>
      <c r="C109" s="39"/>
      <c r="D109" s="39"/>
      <c r="E109" s="40"/>
      <c r="F109" s="40"/>
      <c r="G109" s="28"/>
      <c r="H109" s="7" t="s">
        <v>51</v>
      </c>
      <c r="I109" s="2"/>
      <c r="J109" s="3"/>
      <c r="K109" s="3"/>
      <c r="L109" s="3"/>
    </row>
    <row r="110" spans="1:12" ht="12.75">
      <c r="A110" s="43" t="s">
        <v>46</v>
      </c>
      <c r="B110" s="36" t="s">
        <v>1</v>
      </c>
      <c r="C110" s="39">
        <v>1</v>
      </c>
      <c r="D110" s="40">
        <v>22.08</v>
      </c>
      <c r="E110" s="40">
        <f>(C110*D110)</f>
        <v>22.08</v>
      </c>
      <c r="F110" s="40">
        <f>(E110*0.0069)</f>
        <v>0.152352</v>
      </c>
      <c r="G110" s="28"/>
      <c r="H110" s="5" t="s">
        <v>46</v>
      </c>
      <c r="I110" s="2" t="s">
        <v>94</v>
      </c>
      <c r="J110" s="30"/>
      <c r="K110" s="30"/>
      <c r="L110" s="3">
        <f>(J110*K110)</f>
        <v>0</v>
      </c>
    </row>
    <row r="111" spans="1:12" ht="12.75">
      <c r="A111" s="43" t="s">
        <v>47</v>
      </c>
      <c r="B111" s="36" t="s">
        <v>1</v>
      </c>
      <c r="C111" s="39">
        <v>1</v>
      </c>
      <c r="D111" s="40">
        <v>19.86</v>
      </c>
      <c r="E111" s="40">
        <f>(C111*D111)</f>
        <v>19.86</v>
      </c>
      <c r="F111" s="40">
        <f>(E111*0.0069)</f>
        <v>0.137034</v>
      </c>
      <c r="G111" s="28"/>
      <c r="H111" s="5" t="s">
        <v>47</v>
      </c>
      <c r="I111" s="2" t="s">
        <v>94</v>
      </c>
      <c r="J111" s="30"/>
      <c r="K111" s="30"/>
      <c r="L111" s="3">
        <f>(J111*K111)</f>
        <v>0</v>
      </c>
    </row>
    <row r="112" spans="1:12" ht="12.75">
      <c r="A112" s="43" t="s">
        <v>48</v>
      </c>
      <c r="B112" s="36" t="s">
        <v>1</v>
      </c>
      <c r="C112" s="39">
        <v>1</v>
      </c>
      <c r="D112" s="40">
        <v>46.34</v>
      </c>
      <c r="E112" s="40">
        <f>(C112*D112)</f>
        <v>46.34</v>
      </c>
      <c r="F112" s="40">
        <f>(E112*0.0069)</f>
        <v>0.31974600000000003</v>
      </c>
      <c r="G112" s="28"/>
      <c r="H112" s="5" t="s">
        <v>48</v>
      </c>
      <c r="I112" s="2" t="s">
        <v>94</v>
      </c>
      <c r="J112" s="30"/>
      <c r="K112" s="30"/>
      <c r="L112" s="3">
        <f>(J112*K112)</f>
        <v>0</v>
      </c>
    </row>
    <row r="113" spans="1:12" ht="12.75">
      <c r="A113" s="35"/>
      <c r="B113" s="36"/>
      <c r="C113" s="36"/>
      <c r="D113" s="36"/>
      <c r="E113" s="37"/>
      <c r="F113" s="37"/>
      <c r="G113" s="27"/>
      <c r="I113" s="2"/>
      <c r="J113" s="2"/>
      <c r="K113" s="2"/>
      <c r="L113" s="2"/>
    </row>
    <row r="114" spans="1:12" ht="12.75">
      <c r="A114" s="109" t="s">
        <v>12</v>
      </c>
      <c r="B114" s="36"/>
      <c r="C114" s="36"/>
      <c r="D114" s="36"/>
      <c r="E114" s="50">
        <f>SUM(E98:E113)</f>
        <v>368.20000000000005</v>
      </c>
      <c r="F114" s="50">
        <f>SUM(F98:F113)</f>
        <v>2.5405799999999994</v>
      </c>
      <c r="G114" s="28"/>
      <c r="H114" s="109" t="s">
        <v>12</v>
      </c>
      <c r="I114" s="36"/>
      <c r="J114" s="36"/>
      <c r="K114" s="36"/>
      <c r="L114" s="50">
        <f>SUM(L98:L113)</f>
        <v>0</v>
      </c>
    </row>
    <row r="115" spans="1:12" ht="12.75">
      <c r="A115" s="35"/>
      <c r="B115" s="36"/>
      <c r="C115" s="36"/>
      <c r="D115" s="36"/>
      <c r="E115" s="37"/>
      <c r="F115" s="37"/>
      <c r="G115" s="27"/>
      <c r="I115" s="2"/>
      <c r="J115" s="2"/>
      <c r="K115" s="2"/>
      <c r="L115" s="2"/>
    </row>
    <row r="116" spans="1:12" ht="12.75">
      <c r="A116" s="42" t="s">
        <v>13</v>
      </c>
      <c r="B116" s="36"/>
      <c r="C116" s="36"/>
      <c r="D116" s="36"/>
      <c r="E116" s="50">
        <f>(E89+E114)</f>
        <v>3907.206726273751</v>
      </c>
      <c r="F116" s="50">
        <f>(F89+F114)</f>
        <v>26.95972641128887</v>
      </c>
      <c r="G116" s="29"/>
      <c r="H116" s="1" t="s">
        <v>13</v>
      </c>
      <c r="I116" s="2"/>
      <c r="J116" s="2"/>
      <c r="K116" s="2"/>
      <c r="L116" s="10">
        <f>(L89+L114)</f>
        <v>0</v>
      </c>
    </row>
    <row r="117" spans="1:12" ht="12.75">
      <c r="A117" s="35"/>
      <c r="B117" s="36"/>
      <c r="C117" s="36"/>
      <c r="D117" s="36"/>
      <c r="E117" s="37"/>
      <c r="F117" s="37"/>
      <c r="G117" s="27"/>
      <c r="I117" s="2"/>
      <c r="J117" s="2"/>
      <c r="K117" s="2"/>
      <c r="L117" s="2"/>
    </row>
    <row r="118" spans="1:12" ht="12.75">
      <c r="A118" s="48" t="s">
        <v>100</v>
      </c>
      <c r="B118" s="2"/>
      <c r="C118" s="2"/>
      <c r="D118" s="2"/>
      <c r="E118" s="15">
        <f>(E22-E89)</f>
        <v>-239.0067262737507</v>
      </c>
      <c r="F118" s="15">
        <f>(F22-F89)</f>
        <v>-1.6491464112888679</v>
      </c>
      <c r="G118" s="29"/>
      <c r="H118" s="1" t="s">
        <v>100</v>
      </c>
      <c r="I118" s="2"/>
      <c r="J118" s="2"/>
      <c r="K118" s="2"/>
      <c r="L118" s="10">
        <f>(L22-L89)</f>
        <v>0</v>
      </c>
    </row>
    <row r="119" spans="1:12" ht="12.75">
      <c r="A119" s="48"/>
      <c r="B119" s="2"/>
      <c r="C119" s="2"/>
      <c r="D119" s="2"/>
      <c r="E119" s="15"/>
      <c r="F119" s="15"/>
      <c r="G119" s="29"/>
      <c r="H119" s="1"/>
      <c r="I119" s="2"/>
      <c r="J119" s="2"/>
      <c r="K119" s="2"/>
      <c r="L119" s="10"/>
    </row>
    <row r="120" spans="1:12" ht="12.75">
      <c r="A120" s="42" t="s">
        <v>101</v>
      </c>
      <c r="B120" s="36"/>
      <c r="C120" s="36"/>
      <c r="D120" s="36"/>
      <c r="E120" s="50">
        <f>(E22-E116)</f>
        <v>-607.2067262737505</v>
      </c>
      <c r="F120" s="50">
        <f>(F22-F116)</f>
        <v>-4.189726411288866</v>
      </c>
      <c r="G120" s="29"/>
      <c r="H120" s="1" t="s">
        <v>101</v>
      </c>
      <c r="I120" s="2"/>
      <c r="J120" s="2"/>
      <c r="K120" s="2"/>
      <c r="L120" s="10">
        <f>(L22-L116)</f>
        <v>0</v>
      </c>
    </row>
    <row r="121" spans="1:12" ht="12.75">
      <c r="A121" s="1"/>
      <c r="B121" s="2"/>
      <c r="C121" s="2"/>
      <c r="D121" s="2"/>
      <c r="E121" s="15"/>
      <c r="F121" s="15"/>
      <c r="G121" s="29"/>
      <c r="H121" s="61"/>
      <c r="I121" s="2"/>
      <c r="J121" s="2"/>
      <c r="K121" s="2"/>
      <c r="L121" s="10"/>
    </row>
    <row r="122" spans="1:12" ht="12.75">
      <c r="A122" s="1" t="s">
        <v>71</v>
      </c>
      <c r="B122" s="36" t="s">
        <v>125</v>
      </c>
      <c r="C122" s="2"/>
      <c r="D122" s="2"/>
      <c r="E122" s="15">
        <f>(E116/C20)</f>
        <v>1.3024022420912502</v>
      </c>
      <c r="F122" s="15">
        <f>(F116)/(C20*0.0069)</f>
        <v>1.3024022420912498</v>
      </c>
      <c r="G122" s="29"/>
      <c r="H122" s="61" t="s">
        <v>71</v>
      </c>
      <c r="I122" s="36" t="s">
        <v>125</v>
      </c>
      <c r="J122" s="2"/>
      <c r="K122" s="2"/>
      <c r="L122" s="10" t="e">
        <f>(L116/J20)</f>
        <v>#DIV/0!</v>
      </c>
    </row>
    <row r="123" spans="1:12" ht="12.75">
      <c r="A123" s="1"/>
      <c r="B123" s="36"/>
      <c r="C123" s="2"/>
      <c r="D123" s="2"/>
      <c r="E123" s="15"/>
      <c r="F123" s="15"/>
      <c r="G123" s="15"/>
      <c r="H123" s="24"/>
      <c r="I123" s="36"/>
      <c r="J123" s="2"/>
      <c r="K123" s="2"/>
      <c r="L123" s="10"/>
    </row>
    <row r="124" spans="1:12" ht="12.75">
      <c r="A124" s="1"/>
      <c r="B124" s="36"/>
      <c r="C124" s="2"/>
      <c r="D124" s="2"/>
      <c r="E124" s="15"/>
      <c r="F124" s="108"/>
      <c r="G124" s="15"/>
      <c r="H124" s="24"/>
      <c r="I124" s="36"/>
      <c r="J124" s="2"/>
      <c r="K124" s="2"/>
      <c r="L124" s="10"/>
    </row>
    <row r="125" spans="1:12" ht="14.25">
      <c r="A125" s="60" t="s">
        <v>127</v>
      </c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2.75">
      <c r="A126" s="1"/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s="14" customFormat="1" ht="14.25">
      <c r="A127" s="60" t="s">
        <v>129</v>
      </c>
      <c r="B127" s="126"/>
      <c r="C127" s="126"/>
      <c r="D127" s="126"/>
      <c r="E127" s="127"/>
      <c r="F127" s="127"/>
      <c r="G127" s="127"/>
      <c r="I127" s="126"/>
      <c r="J127" s="126"/>
      <c r="K127" s="126"/>
      <c r="L127" s="128"/>
    </row>
    <row r="128" spans="1:12" ht="12.75">
      <c r="A128" s="1"/>
      <c r="B128" s="36"/>
      <c r="C128" s="2"/>
      <c r="D128" s="2"/>
      <c r="E128" s="15"/>
      <c r="F128" s="108"/>
      <c r="G128" s="15"/>
      <c r="H128" s="24"/>
      <c r="I128" s="36"/>
      <c r="J128" s="2"/>
      <c r="K128" s="2"/>
      <c r="L128" s="10"/>
    </row>
    <row r="129" spans="1:12" ht="14.25">
      <c r="A129" s="60" t="s">
        <v>128</v>
      </c>
      <c r="B129" s="2"/>
      <c r="C129" s="2"/>
      <c r="D129" s="2"/>
      <c r="E129" s="15"/>
      <c r="F129" s="15"/>
      <c r="G129" s="15"/>
      <c r="H129" s="1"/>
      <c r="I129" s="2"/>
      <c r="J129" s="2"/>
      <c r="K129" s="2"/>
      <c r="L129" s="10"/>
    </row>
    <row r="130" spans="1:12" ht="12.75">
      <c r="A130" s="14" t="s">
        <v>80</v>
      </c>
      <c r="B130" s="2"/>
      <c r="C130" s="2"/>
      <c r="D130" s="2"/>
      <c r="E130" s="15"/>
      <c r="F130" s="15"/>
      <c r="G130" s="15"/>
      <c r="H130" s="1"/>
      <c r="I130" s="2"/>
      <c r="J130" s="2"/>
      <c r="K130" s="2"/>
      <c r="L130" s="10"/>
    </row>
    <row r="131" spans="1:8" ht="12.75">
      <c r="A131" s="106" t="s">
        <v>135</v>
      </c>
      <c r="B131" s="2"/>
      <c r="C131" s="2"/>
      <c r="D131" s="2"/>
      <c r="E131" s="3"/>
      <c r="F131" s="3"/>
      <c r="G131" s="3"/>
      <c r="H131" s="1"/>
    </row>
    <row r="132" spans="1:8" ht="12.75">
      <c r="A132" s="51"/>
      <c r="B132" s="2"/>
      <c r="C132" s="2"/>
      <c r="D132" s="2"/>
      <c r="E132" s="3"/>
      <c r="F132" s="3"/>
      <c r="G132" s="3"/>
      <c r="H132" s="1"/>
    </row>
    <row r="133" spans="1:8" ht="12.75">
      <c r="A133" s="14" t="s">
        <v>136</v>
      </c>
      <c r="B133" s="2"/>
      <c r="C133" s="2"/>
      <c r="D133" s="2"/>
      <c r="E133" s="3"/>
      <c r="F133" s="3"/>
      <c r="G133" s="3"/>
      <c r="H133" s="1"/>
    </row>
    <row r="134" ht="12.75">
      <c r="A134" s="14"/>
    </row>
    <row r="135" spans="1:2" ht="12.75">
      <c r="A135" s="14" t="s">
        <v>141</v>
      </c>
      <c r="B135" s="2"/>
    </row>
    <row r="136" spans="1:2" ht="12.75">
      <c r="A136" t="s">
        <v>32</v>
      </c>
      <c r="B136" s="2"/>
    </row>
  </sheetData>
  <sheetProtection password="C610" sheet="1"/>
  <hyperlinks>
    <hyperlink ref="A131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2" max="255" man="1"/>
  </rowBreaks>
  <ignoredErrors>
    <ignoredError sqref="L91 L12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1"/>
  <sheetViews>
    <sheetView zoomScale="75" zoomScaleNormal="75" zoomScalePageLayoutView="0" workbookViewId="0" topLeftCell="A1">
      <selection activeCell="V12" sqref="V12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9" t="s">
        <v>140</v>
      </c>
    </row>
    <row r="9" spans="5:14" ht="15.75">
      <c r="E9" s="131" t="s">
        <v>53</v>
      </c>
      <c r="F9" s="131"/>
      <c r="M9" s="131" t="s">
        <v>54</v>
      </c>
      <c r="N9" s="131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30" t="s">
        <v>102</v>
      </c>
      <c r="F11" s="130"/>
      <c r="G11" s="1"/>
      <c r="H11" s="1"/>
      <c r="K11" s="1"/>
      <c r="L11" s="12"/>
      <c r="M11" s="130" t="s">
        <v>102</v>
      </c>
      <c r="N11" s="130"/>
      <c r="O11" s="12"/>
      <c r="P11" s="12"/>
    </row>
    <row r="12" spans="3:16" ht="12.75">
      <c r="C12" s="116" t="s">
        <v>73</v>
      </c>
      <c r="D12" s="116"/>
      <c r="E12" s="116"/>
      <c r="F12" s="116"/>
      <c r="G12" s="116"/>
      <c r="H12" s="116"/>
      <c r="K12" s="1" t="s">
        <v>104</v>
      </c>
      <c r="L12" s="12"/>
      <c r="M12" s="12"/>
      <c r="N12" s="12"/>
      <c r="O12" s="12"/>
      <c r="P12" s="12"/>
    </row>
    <row r="13" spans="3:16" ht="12.75">
      <c r="C13" s="1"/>
      <c r="D13" s="1"/>
      <c r="E13" s="130" t="s">
        <v>111</v>
      </c>
      <c r="F13" s="130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81</v>
      </c>
      <c r="H15" s="69" t="s">
        <v>82</v>
      </c>
      <c r="L15" s="66">
        <v>-0.2</v>
      </c>
      <c r="M15" s="66">
        <v>-0.1</v>
      </c>
      <c r="N15" s="12" t="s">
        <v>4</v>
      </c>
      <c r="O15" s="69" t="s">
        <v>81</v>
      </c>
      <c r="P15" s="69" t="s">
        <v>82</v>
      </c>
    </row>
    <row r="16" spans="1:16" ht="13.5" thickBot="1">
      <c r="A16" s="62"/>
      <c r="D16" s="75">
        <f>ROUND((F16*0.8),2)</f>
        <v>0.88</v>
      </c>
      <c r="E16" s="74">
        <f>ROUND((F16*0.9),2)</f>
        <v>0.99</v>
      </c>
      <c r="F16" s="74">
        <f>Budget!D20</f>
        <v>1.1</v>
      </c>
      <c r="G16" s="74">
        <f>ROUND((F16*1.1),2)</f>
        <v>1.21</v>
      </c>
      <c r="H16" s="76">
        <f>ROUND((F16*1.2),2)</f>
        <v>1.32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71">
        <f>(0.8*C19)</f>
        <v>16.56</v>
      </c>
      <c r="D17" s="87">
        <f>(D16*C17)-Budget!F116</f>
        <v>-12.38692641128887</v>
      </c>
      <c r="E17" s="88">
        <f>(E16*C17)-Budget!F116</f>
        <v>-10.565326411288872</v>
      </c>
      <c r="F17" s="88">
        <f>(F16*C17)-Budget!F116</f>
        <v>-8.743726411288868</v>
      </c>
      <c r="G17" s="88">
        <f>(G16*C17)-Budget!F116</f>
        <v>-6.922126411288872</v>
      </c>
      <c r="H17" s="89">
        <f>(H16*C17)-Budget!F116</f>
        <v>-5.100526411288872</v>
      </c>
      <c r="J17" s="67">
        <v>-0.2</v>
      </c>
      <c r="K17" s="71">
        <f>(0.8*K19)</f>
        <v>0</v>
      </c>
      <c r="L17" s="87">
        <f>(L16*K17)-Budget!L116</f>
        <v>0</v>
      </c>
      <c r="M17" s="88">
        <f>(M16*K17)-Budget!L116</f>
        <v>0</v>
      </c>
      <c r="N17" s="88">
        <f>(N16*K17)-Budget!L116</f>
        <v>0</v>
      </c>
      <c r="O17" s="88">
        <f>(O16*K17)-Budget!L116</f>
        <v>0</v>
      </c>
      <c r="P17" s="89">
        <f>(P16*K17)-Budget!L116</f>
        <v>0</v>
      </c>
    </row>
    <row r="18" spans="1:16" ht="12.75">
      <c r="A18" s="4"/>
      <c r="B18" s="67">
        <v>-0.1</v>
      </c>
      <c r="C18" s="72">
        <f>(0.9*C19)</f>
        <v>18.63</v>
      </c>
      <c r="D18" s="90">
        <f>(D16*C18)-Budget!F116</f>
        <v>-10.565326411288869</v>
      </c>
      <c r="E18" s="91">
        <f>(E16*C18)-Budget!F116</f>
        <v>-8.51602641128887</v>
      </c>
      <c r="F18" s="91">
        <f>(F16*C18)-Budget!F116</f>
        <v>-6.466726411288867</v>
      </c>
      <c r="G18" s="91">
        <f>(G16*C18)-Budget!F116</f>
        <v>-4.417426411288872</v>
      </c>
      <c r="H18" s="92">
        <f>(H16*C18)-Budget!F116</f>
        <v>-2.36812641128887</v>
      </c>
      <c r="J18" s="67">
        <v>-0.1</v>
      </c>
      <c r="K18" s="72">
        <f>(0.9*K19)</f>
        <v>0</v>
      </c>
      <c r="L18" s="90">
        <f>(L16*K18)-Budget!L116</f>
        <v>0</v>
      </c>
      <c r="M18" s="91">
        <f>(M16*K18)-Budget!L116</f>
        <v>0</v>
      </c>
      <c r="N18" s="91">
        <f>(N16*K18)-Budget!L116</f>
        <v>0</v>
      </c>
      <c r="O18" s="91">
        <f>(O16*K18)-Budget!L116</f>
        <v>0</v>
      </c>
      <c r="P18" s="92">
        <f>(P16*K18)-Budget!L116</f>
        <v>0</v>
      </c>
    </row>
    <row r="19" spans="1:16" ht="12.75">
      <c r="A19" s="62"/>
      <c r="B19" s="6" t="s">
        <v>74</v>
      </c>
      <c r="C19" s="72">
        <f>(Budget!C20*0.0069)</f>
        <v>20.7</v>
      </c>
      <c r="D19" s="90">
        <f>(D16*C19)-Budget!F116</f>
        <v>-8.743726411288868</v>
      </c>
      <c r="E19" s="91">
        <f>(E16*C19)-Budget!F116</f>
        <v>-6.466726411288871</v>
      </c>
      <c r="F19" s="91">
        <f>(F16*C19)-Budget!F116</f>
        <v>-4.18972641128887</v>
      </c>
      <c r="G19" s="91">
        <f>(G16*C19)-Budget!F116</f>
        <v>-1.9127264112888724</v>
      </c>
      <c r="H19" s="92">
        <f>(H16*C19)-Budget!F116</f>
        <v>0.36427358871113213</v>
      </c>
      <c r="J19" s="6" t="s">
        <v>74</v>
      </c>
      <c r="K19" s="72">
        <f>Budget!J20</f>
        <v>0</v>
      </c>
      <c r="L19" s="90">
        <f>(L16*K19)-Budget!L116</f>
        <v>0</v>
      </c>
      <c r="M19" s="91">
        <f>(M16*K19)-Budget!L116</f>
        <v>0</v>
      </c>
      <c r="N19" s="91">
        <f>(N16*K19)-Budget!L116</f>
        <v>0</v>
      </c>
      <c r="O19" s="91">
        <f>(O16*K19)-Budget!L116</f>
        <v>0</v>
      </c>
      <c r="P19" s="92">
        <f>(P16*K19)-Budget!L116</f>
        <v>0</v>
      </c>
    </row>
    <row r="20" spans="1:16" ht="12.75">
      <c r="A20" s="62"/>
      <c r="B20" s="70" t="s">
        <v>81</v>
      </c>
      <c r="C20" s="72">
        <f>(1.1*C19)</f>
        <v>22.77</v>
      </c>
      <c r="D20" s="90">
        <f>(D16*C20)-Budget!F116</f>
        <v>-6.922126411288868</v>
      </c>
      <c r="E20" s="91">
        <f>(E16*C20)-Budget!F116</f>
        <v>-4.417426411288869</v>
      </c>
      <c r="F20" s="91">
        <f>(F16*C20)-Budget!F116</f>
        <v>-1.9127264112888689</v>
      </c>
      <c r="G20" s="91">
        <f>(G16*C20)-Budget!F116</f>
        <v>0.5919735887111308</v>
      </c>
      <c r="H20" s="92">
        <f>(H16*C20)-Budget!F116</f>
        <v>3.0966735887111305</v>
      </c>
      <c r="J20" s="70" t="s">
        <v>81</v>
      </c>
      <c r="K20" s="72">
        <f>(1.1*K19)</f>
        <v>0</v>
      </c>
      <c r="L20" s="90">
        <f>(L16*K20)-Budget!L116</f>
        <v>0</v>
      </c>
      <c r="M20" s="91">
        <f>(M16*K20)-Budget!L116</f>
        <v>0</v>
      </c>
      <c r="N20" s="91">
        <f>(N16*K20)-Budget!L116</f>
        <v>0</v>
      </c>
      <c r="O20" s="91">
        <f>(O16*K20)-Budget!L116</f>
        <v>0</v>
      </c>
      <c r="P20" s="92">
        <f>(P16*K20)-Budget!L116</f>
        <v>0</v>
      </c>
    </row>
    <row r="21" spans="2:16" ht="13.5" thickBot="1">
      <c r="B21" s="70" t="s">
        <v>82</v>
      </c>
      <c r="C21" s="73">
        <f>(1.2*C19)</f>
        <v>24.84</v>
      </c>
      <c r="D21" s="93">
        <f>(D16*C21)-Budget!F116</f>
        <v>-5.100526411288868</v>
      </c>
      <c r="E21" s="94">
        <f>(E16*C21)-Budget!F116</f>
        <v>-2.36812641128887</v>
      </c>
      <c r="F21" s="94">
        <f>(F16*C21)-Budget!F116</f>
        <v>0.36427358871113213</v>
      </c>
      <c r="G21" s="94">
        <f>(G16*C21)-Budget!F116</f>
        <v>3.0966735887111305</v>
      </c>
      <c r="H21" s="95">
        <f>(H16*C21)-Budget!F116</f>
        <v>5.8290735887111325</v>
      </c>
      <c r="J21" s="70" t="s">
        <v>82</v>
      </c>
      <c r="K21" s="73">
        <f>(1.2*K19)</f>
        <v>0</v>
      </c>
      <c r="L21" s="93">
        <f>(L16*K21)-Budget!L116</f>
        <v>0</v>
      </c>
      <c r="M21" s="94">
        <f>(M16*K21)-Budget!L116</f>
        <v>0</v>
      </c>
      <c r="N21" s="94">
        <f>(N16*K21)-Budget!L116</f>
        <v>0</v>
      </c>
      <c r="O21" s="94">
        <f>(O16*K21)-Budget!L116</f>
        <v>0</v>
      </c>
      <c r="P21" s="95">
        <f>(P16*K21)-Budget!L116</f>
        <v>0</v>
      </c>
    </row>
    <row r="26" spans="3:14" ht="12.75">
      <c r="C26" s="1"/>
      <c r="D26" s="1"/>
      <c r="E26" s="130" t="s">
        <v>103</v>
      </c>
      <c r="F26" s="130"/>
      <c r="K26" s="1"/>
      <c r="L26" s="12"/>
      <c r="M26" s="130" t="s">
        <v>103</v>
      </c>
      <c r="N26" s="130"/>
    </row>
    <row r="27" spans="3:14" ht="12.75">
      <c r="C27" s="1" t="s">
        <v>72</v>
      </c>
      <c r="D27" s="1"/>
      <c r="E27" s="1"/>
      <c r="F27" s="1"/>
      <c r="K27" s="1" t="s">
        <v>72</v>
      </c>
      <c r="L27" s="12"/>
      <c r="M27" s="12"/>
      <c r="N27" s="12"/>
    </row>
    <row r="28" spans="3:16" ht="12.75">
      <c r="C28" s="1"/>
      <c r="D28" s="1"/>
      <c r="E28" s="130" t="s">
        <v>111</v>
      </c>
      <c r="F28" s="130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81</v>
      </c>
      <c r="H30" s="69" t="s">
        <v>82</v>
      </c>
      <c r="L30" s="66">
        <v>-0.2</v>
      </c>
      <c r="M30" s="66">
        <v>-0.1</v>
      </c>
      <c r="N30" s="12" t="s">
        <v>4</v>
      </c>
      <c r="O30" s="69" t="s">
        <v>81</v>
      </c>
      <c r="P30" s="69" t="s">
        <v>82</v>
      </c>
    </row>
    <row r="31" spans="4:16" ht="13.5" thickBot="1">
      <c r="D31" s="79">
        <f>ROUND((F31*0.8),2)</f>
        <v>0.88</v>
      </c>
      <c r="E31" s="74">
        <f>ROUND((F31*0.9),2)</f>
        <v>0.99</v>
      </c>
      <c r="F31" s="74">
        <f>Budget!D20</f>
        <v>1.1</v>
      </c>
      <c r="G31" s="77">
        <f>ROUND((F31*1.1),2)</f>
        <v>1.21</v>
      </c>
      <c r="H31" s="78">
        <f>ROUND((F31*1.2),2)</f>
        <v>1.32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21.567781129031097</v>
      </c>
      <c r="D32" s="96">
        <f>(C32/D31)</f>
        <v>24.50884219208079</v>
      </c>
      <c r="E32" s="97">
        <f>(C32/E31)</f>
        <v>21.785637504071815</v>
      </c>
      <c r="F32" s="97">
        <f>(C32/F31)</f>
        <v>19.607073753664633</v>
      </c>
      <c r="G32" s="97">
        <f>(C32/G31)</f>
        <v>17.824612503331487</v>
      </c>
      <c r="H32" s="98">
        <f>(C32/H31)</f>
        <v>16.33922812805386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24.263753770159983</v>
      </c>
      <c r="D33" s="99">
        <f>(C33/D31)</f>
        <v>27.57244746609089</v>
      </c>
      <c r="E33" s="100">
        <f>(C33/E31)</f>
        <v>24.50884219208079</v>
      </c>
      <c r="F33" s="100">
        <f>(C33/F31)</f>
        <v>22.05795797287271</v>
      </c>
      <c r="G33" s="100">
        <f>(C33/G31)</f>
        <v>20.052689066247922</v>
      </c>
      <c r="H33" s="101">
        <f>(C33/H31)</f>
        <v>18.381631644060594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Budget!F116</f>
        <v>26.95972641128887</v>
      </c>
      <c r="D34" s="99">
        <f>(C34/D31)</f>
        <v>30.63605274010099</v>
      </c>
      <c r="E34" s="100">
        <f>(C34/E31)</f>
        <v>27.23204688008977</v>
      </c>
      <c r="F34" s="100">
        <f>(C34/F31)</f>
        <v>24.508842192080788</v>
      </c>
      <c r="G34" s="100">
        <f>(C34/G31)</f>
        <v>22.280765629164357</v>
      </c>
      <c r="H34" s="101">
        <f>(C34/H31)</f>
        <v>20.424035160067323</v>
      </c>
      <c r="J34" s="6" t="s">
        <v>13</v>
      </c>
      <c r="K34" s="64">
        <f>Budget!L116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81</v>
      </c>
      <c r="C35" s="64">
        <f>(1.1*C34)</f>
        <v>29.65569905241776</v>
      </c>
      <c r="D35" s="99">
        <f>(C35/D31)</f>
        <v>33.69965801411109</v>
      </c>
      <c r="E35" s="100">
        <f>(C35/E31)</f>
        <v>29.955251568098745</v>
      </c>
      <c r="F35" s="100">
        <f>(C35/F31)</f>
        <v>26.95972641128887</v>
      </c>
      <c r="G35" s="100">
        <f>(C35/G31)</f>
        <v>24.50884219208079</v>
      </c>
      <c r="H35" s="101">
        <f>(C35/H31)</f>
        <v>22.46643867607406</v>
      </c>
      <c r="J35" s="70" t="s">
        <v>81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82</v>
      </c>
      <c r="C36" s="65">
        <f>(1.2*C34)</f>
        <v>32.35167169354664</v>
      </c>
      <c r="D36" s="102">
        <f>(C36/D31)</f>
        <v>36.76326328812118</v>
      </c>
      <c r="E36" s="103">
        <f>(C36/E31)</f>
        <v>32.67845625610772</v>
      </c>
      <c r="F36" s="103">
        <f>(C36/F31)</f>
        <v>29.410610630496944</v>
      </c>
      <c r="G36" s="103">
        <f>(C36/G31)</f>
        <v>26.736918754997227</v>
      </c>
      <c r="H36" s="104">
        <f>(C36/H31)</f>
        <v>24.508842192080788</v>
      </c>
      <c r="J36" s="70" t="s">
        <v>82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1" ht="12.75">
      <c r="S41" s="14" t="s">
        <v>139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horizontalDpi="300" verticalDpi="300"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8"/>
  <sheetViews>
    <sheetView zoomScale="85" zoomScaleNormal="85" zoomScalePageLayoutView="0" workbookViewId="0" topLeftCell="A2">
      <selection activeCell="J37" sqref="J37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9" t="s">
        <v>140</v>
      </c>
      <c r="B8" s="2"/>
    </row>
    <row r="9" spans="1:2" ht="15.75">
      <c r="A9" s="129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109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112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77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20">
        <f>(I14*0.0069)</f>
        <v>0.00966</v>
      </c>
    </row>
    <row r="15" spans="1:10" ht="12.75">
      <c r="A15" s="14" t="s">
        <v>75</v>
      </c>
      <c r="B15" t="s">
        <v>76</v>
      </c>
      <c r="C15" s="13">
        <v>0.88</v>
      </c>
      <c r="D15" s="13">
        <v>0.6</v>
      </c>
      <c r="E15" s="13">
        <v>2.51</v>
      </c>
      <c r="F15" s="13">
        <v>2.65</v>
      </c>
      <c r="G15" s="13">
        <v>0.33</v>
      </c>
      <c r="H15" s="3">
        <v>1</v>
      </c>
      <c r="I15" s="13">
        <f>SUM(C15:G15)/H15</f>
        <v>6.97</v>
      </c>
      <c r="J15" s="120">
        <f aca="true" t="shared" si="0" ref="J15:J25">(I15*0.0069)</f>
        <v>0.048093</v>
      </c>
    </row>
    <row r="16" spans="1:10" ht="12.75">
      <c r="A16" s="14" t="s">
        <v>75</v>
      </c>
      <c r="B16" t="s">
        <v>132</v>
      </c>
      <c r="C16" s="13">
        <v>3.38</v>
      </c>
      <c r="D16" s="13">
        <v>6.13</v>
      </c>
      <c r="E16" s="13">
        <v>6.05</v>
      </c>
      <c r="F16" s="13">
        <v>6.39</v>
      </c>
      <c r="G16" s="13">
        <v>0.47</v>
      </c>
      <c r="H16" s="3">
        <v>1</v>
      </c>
      <c r="I16" s="13">
        <f>SUM(C16:G16)*H16</f>
        <v>22.419999999999998</v>
      </c>
      <c r="J16" s="120">
        <f t="shared" si="0"/>
        <v>0.15469799999999997</v>
      </c>
    </row>
    <row r="17" spans="1:10" ht="12.75">
      <c r="A17" t="s">
        <v>29</v>
      </c>
      <c r="B17" s="7" t="s">
        <v>113</v>
      </c>
      <c r="C17" s="68">
        <v>20.71</v>
      </c>
      <c r="D17" s="68">
        <v>12.66</v>
      </c>
      <c r="E17" s="68">
        <v>112.1</v>
      </c>
      <c r="F17" s="68">
        <v>31.07</v>
      </c>
      <c r="G17" s="68">
        <v>21.9</v>
      </c>
      <c r="H17" s="3">
        <v>1</v>
      </c>
      <c r="I17" s="13">
        <f>SUM(C17:G17)*H17</f>
        <v>198.44</v>
      </c>
      <c r="J17" s="120">
        <f t="shared" si="0"/>
        <v>1.369236</v>
      </c>
    </row>
    <row r="18" spans="1:10" ht="12.75">
      <c r="A18" t="s">
        <v>77</v>
      </c>
      <c r="B18" t="s">
        <v>95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 aca="true" t="shared" si="1" ref="I18:I25">SUM(C18:G18)/H18</f>
        <v>2.9000000000000004</v>
      </c>
      <c r="J18" s="120">
        <f t="shared" si="0"/>
        <v>0.020010000000000003</v>
      </c>
    </row>
    <row r="19" spans="1:10" ht="12.75">
      <c r="A19" t="s">
        <v>77</v>
      </c>
      <c r="B19" t="s">
        <v>95</v>
      </c>
      <c r="C19" s="13">
        <v>2.64</v>
      </c>
      <c r="D19" s="13">
        <v>1.53</v>
      </c>
      <c r="E19" s="13">
        <v>1.64</v>
      </c>
      <c r="F19" s="13">
        <v>1.26</v>
      </c>
      <c r="G19" s="13">
        <v>1.61</v>
      </c>
      <c r="H19" s="3">
        <v>3</v>
      </c>
      <c r="I19" s="13">
        <f>SUM(C19:G19)/H19</f>
        <v>2.893333333333333</v>
      </c>
      <c r="J19" s="120">
        <f t="shared" si="0"/>
        <v>0.019964</v>
      </c>
    </row>
    <row r="20" spans="1:10" ht="12.75">
      <c r="A20" t="s">
        <v>77</v>
      </c>
      <c r="B20" t="s">
        <v>95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20">
        <f t="shared" si="0"/>
        <v>0.019941</v>
      </c>
    </row>
    <row r="21" spans="1:10" ht="12.75">
      <c r="A21" t="s">
        <v>77</v>
      </c>
      <c r="B21" t="s">
        <v>95</v>
      </c>
      <c r="C21" s="13">
        <v>2.64</v>
      </c>
      <c r="D21" s="13">
        <v>1.53</v>
      </c>
      <c r="E21" s="13">
        <v>1.64</v>
      </c>
      <c r="F21" s="13">
        <v>1.26</v>
      </c>
      <c r="G21" s="13">
        <v>1.61</v>
      </c>
      <c r="H21" s="3">
        <v>3</v>
      </c>
      <c r="I21" s="13">
        <f>SUM(C21:G21)/H21</f>
        <v>2.893333333333333</v>
      </c>
      <c r="J21" s="120">
        <f t="shared" si="0"/>
        <v>0.019964</v>
      </c>
    </row>
    <row r="22" spans="1:10" ht="12.75">
      <c r="A22" t="s">
        <v>77</v>
      </c>
      <c r="B22" t="s">
        <v>95</v>
      </c>
      <c r="C22" s="13">
        <v>0.88</v>
      </c>
      <c r="D22" s="13">
        <v>0.51</v>
      </c>
      <c r="E22" s="13">
        <v>0.55</v>
      </c>
      <c r="F22" s="13">
        <v>0.42</v>
      </c>
      <c r="G22" s="13">
        <v>0.54</v>
      </c>
      <c r="H22" s="3">
        <v>1</v>
      </c>
      <c r="I22" s="13">
        <f>SUM(C22:G22)/H22</f>
        <v>2.9000000000000004</v>
      </c>
      <c r="J22" s="120">
        <f t="shared" si="0"/>
        <v>0.020010000000000003</v>
      </c>
    </row>
    <row r="23" spans="1:10" ht="12.75">
      <c r="A23" s="14" t="s">
        <v>75</v>
      </c>
      <c r="B23" t="s">
        <v>78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 t="shared" si="1"/>
        <v>16.88</v>
      </c>
      <c r="J23" s="120">
        <f t="shared" si="0"/>
        <v>0.11647199999999999</v>
      </c>
    </row>
    <row r="24" spans="1:10" ht="12.75">
      <c r="A24" t="s">
        <v>29</v>
      </c>
      <c r="B24" t="s">
        <v>107</v>
      </c>
      <c r="C24" s="13">
        <v>4.17</v>
      </c>
      <c r="D24" s="13">
        <v>3.06</v>
      </c>
      <c r="E24" s="13">
        <v>10.08</v>
      </c>
      <c r="F24" s="13">
        <v>7.77</v>
      </c>
      <c r="G24" s="13">
        <v>1.4</v>
      </c>
      <c r="H24" s="3">
        <v>2</v>
      </c>
      <c r="I24" s="13">
        <f t="shared" si="1"/>
        <v>13.24</v>
      </c>
      <c r="J24" s="120">
        <f t="shared" si="0"/>
        <v>0.091356</v>
      </c>
    </row>
    <row r="25" spans="1:10" ht="12.75">
      <c r="A25" s="14" t="s">
        <v>108</v>
      </c>
      <c r="B25" t="s">
        <v>79</v>
      </c>
      <c r="C25" s="13">
        <v>0.18</v>
      </c>
      <c r="D25" s="13">
        <v>0.32</v>
      </c>
      <c r="E25" s="13">
        <v>0.61</v>
      </c>
      <c r="F25" s="13">
        <v>0.25</v>
      </c>
      <c r="G25" s="13">
        <v>0.03</v>
      </c>
      <c r="H25" s="3">
        <v>1</v>
      </c>
      <c r="I25" s="13">
        <f t="shared" si="1"/>
        <v>1.39</v>
      </c>
      <c r="J25" s="120">
        <f t="shared" si="0"/>
        <v>0.009590999999999999</v>
      </c>
    </row>
    <row r="26" spans="1:10" ht="12.75">
      <c r="A26" t="s">
        <v>30</v>
      </c>
      <c r="C26" s="13" t="s">
        <v>17</v>
      </c>
      <c r="D26" s="13"/>
      <c r="E26" s="13"/>
      <c r="F26" s="13">
        <f>SUM(F14:F25)*0.15</f>
        <v>8.610000000000001</v>
      </c>
      <c r="G26" s="13"/>
      <c r="H26" s="13"/>
      <c r="I26" s="13"/>
      <c r="J26" s="120">
        <f>(F26*0.0069)</f>
        <v>0.05940900000000001</v>
      </c>
    </row>
    <row r="27" spans="3:9" ht="12.75">
      <c r="C27" s="13"/>
      <c r="D27" s="13"/>
      <c r="E27" s="13"/>
      <c r="F27" s="13"/>
      <c r="G27" s="13"/>
      <c r="H27" s="13"/>
      <c r="I27" s="13"/>
    </row>
    <row r="28" spans="1:10" ht="12.75">
      <c r="A28" t="s">
        <v>31</v>
      </c>
      <c r="C28" s="13">
        <f>SUM(C14:C25)</f>
        <v>41.95</v>
      </c>
      <c r="D28" s="13">
        <f>SUM(D14:D25)</f>
        <v>30.190000000000005</v>
      </c>
      <c r="E28" s="13">
        <f>SUM(E14:E25)</f>
        <v>141.72000000000003</v>
      </c>
      <c r="F28" s="13">
        <f>SUM(F14:F26)</f>
        <v>66.01</v>
      </c>
      <c r="G28" s="13">
        <f>SUM(G14:G27)</f>
        <v>31.659999999999997</v>
      </c>
      <c r="H28" s="13"/>
      <c r="I28" s="13">
        <f>SUM(C28:G28)</f>
        <v>311.5300000000001</v>
      </c>
      <c r="J28" s="120">
        <f>(I28*0.0069)</f>
        <v>2.1495570000000006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7:I18 I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Lorre Kolb</cp:lastModifiedBy>
  <cp:lastPrinted>2013-03-18T18:45:33Z</cp:lastPrinted>
  <dcterms:created xsi:type="dcterms:W3CDTF">2006-06-24T15:43:23Z</dcterms:created>
  <dcterms:modified xsi:type="dcterms:W3CDTF">2020-12-14T21:39:09Z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