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5200" windowHeight="12975" activeTab="1"/>
  </bookViews>
  <sheets>
    <sheet name="birth-wean" sheetId="1" r:id="rId1"/>
    <sheet name="wean-300" sheetId="2" r:id="rId2"/>
    <sheet name="California" sheetId="3" r:id="rId3"/>
    <sheet name="No rough" sheetId="4" r:id="rId4"/>
    <sheet name="Hi NRG" sheetId="5" r:id="rId5"/>
    <sheet name="600-finish" sheetId="6" r:id="rId6"/>
  </sheets>
  <definedNames>
    <definedName name="_xlnm.Print_Area" localSheetId="0">'birth-wean'!#REF!</definedName>
  </definedNames>
  <calcPr fullCalcOnLoad="1"/>
</workbook>
</file>

<file path=xl/sharedStrings.xml><?xml version="1.0" encoding="utf-8"?>
<sst xmlns="http://schemas.openxmlformats.org/spreadsheetml/2006/main" count="832" uniqueCount="109">
  <si>
    <t>Receipts</t>
  </si>
  <si>
    <t>Variable Expenses</t>
  </si>
  <si>
    <t>pasture</t>
  </si>
  <si>
    <t>t.m. salt</t>
  </si>
  <si>
    <t>Total feed costs</t>
  </si>
  <si>
    <t>bedding</t>
  </si>
  <si>
    <t>veterinary</t>
  </si>
  <si>
    <t>supplies</t>
  </si>
  <si>
    <t>power &amp; fuel</t>
  </si>
  <si>
    <t>Total livestock costs</t>
  </si>
  <si>
    <t xml:space="preserve"> </t>
  </si>
  <si>
    <t>Pay weight</t>
  </si>
  <si>
    <t>death losses</t>
  </si>
  <si>
    <t>Total receipts</t>
  </si>
  <si>
    <t>Returns on resources</t>
  </si>
  <si>
    <t>medicines-vaccines</t>
  </si>
  <si>
    <t xml:space="preserve">transportation </t>
  </si>
  <si>
    <t>Steers,</t>
  </si>
  <si>
    <t>Purchase costs</t>
  </si>
  <si>
    <t>Total arrival cost</t>
  </si>
  <si>
    <t>milk replacer</t>
  </si>
  <si>
    <t>calf grain starter</t>
  </si>
  <si>
    <t>dical. phosphate</t>
  </si>
  <si>
    <t>Interest cost, cattle</t>
  </si>
  <si>
    <t>Interest cost, feed</t>
  </si>
  <si>
    <t>lbs.</t>
  </si>
  <si>
    <t>Units</t>
  </si>
  <si>
    <t>%</t>
  </si>
  <si>
    <t>Est. Receipts</t>
  </si>
  <si>
    <t>Variable expenses</t>
  </si>
  <si>
    <t>marketing costs</t>
  </si>
  <si>
    <t>$/cwt.</t>
  </si>
  <si>
    <t>$/hd.</t>
  </si>
  <si>
    <t>$/ton</t>
  </si>
  <si>
    <t>$/acre</t>
  </si>
  <si>
    <t>$/bu.</t>
  </si>
  <si>
    <t>grain (corn)</t>
  </si>
  <si>
    <t>%APR</t>
  </si>
  <si>
    <t>Returns to labor &amp; management</t>
  </si>
  <si>
    <t>grain (oats)</t>
  </si>
  <si>
    <t>For one (1) head.</t>
  </si>
  <si>
    <t>Mixing &amp; mill costs</t>
  </si>
  <si>
    <t>vitamin/mineral premix</t>
  </si>
  <si>
    <t xml:space="preserve">          </t>
  </si>
  <si>
    <t>Fixed expenses</t>
  </si>
  <si>
    <t xml:space="preserve">   Wt.</t>
  </si>
  <si>
    <t xml:space="preserve">      Price</t>
  </si>
  <si>
    <t xml:space="preserve"> Units</t>
  </si>
  <si>
    <t xml:space="preserve">      Dollars</t>
  </si>
  <si>
    <t>Unit</t>
  </si>
  <si>
    <t xml:space="preserve">     Price</t>
  </si>
  <si>
    <t xml:space="preserve">  Amt.</t>
  </si>
  <si>
    <t xml:space="preserve">  Unit</t>
  </si>
  <si>
    <t>Cattle cost</t>
  </si>
  <si>
    <t>Feed costs</t>
  </si>
  <si>
    <t>acre</t>
  </si>
  <si>
    <t>$</t>
  </si>
  <si>
    <t>Livestock costs</t>
  </si>
  <si>
    <t>Fixed costs</t>
  </si>
  <si>
    <t>Est. hours of labor per head</t>
  </si>
  <si>
    <t>Breakeven cost per cwt. less marketing cost.</t>
  </si>
  <si>
    <t>hay/haylage</t>
  </si>
  <si>
    <t>corn silage</t>
  </si>
  <si>
    <t>protein supplement #1</t>
  </si>
  <si>
    <t>protein supplement #2</t>
  </si>
  <si>
    <t>limestone</t>
  </si>
  <si>
    <t>Enterprise Budgets:  Dairy Steer Calves</t>
  </si>
  <si>
    <t>Economic Planning Budget (cash-flow) for one animal.</t>
  </si>
  <si>
    <t>Returns to labor, management &amp; capital</t>
  </si>
  <si>
    <t>ADG</t>
  </si>
  <si>
    <t>Live weight Gain</t>
  </si>
  <si>
    <t>F/G</t>
  </si>
  <si>
    <t>Feed Required DM basis</t>
  </si>
  <si>
    <t>DM, lb</t>
  </si>
  <si>
    <t>DM, %</t>
  </si>
  <si>
    <t>(UWEX, Adapted by J.W. Lehmkuhler and updated 1/7/08.  Origninal produced 2/1/01, by S.R. Hendrickson, Manitowoc County)</t>
  </si>
  <si>
    <r>
      <t>Assumptions:</t>
    </r>
    <r>
      <rPr>
        <sz val="10"/>
        <rFont val="Arial"/>
        <family val="2"/>
      </rPr>
      <t xml:space="preserve">  Dairy bull calves purchased at birth (1-2days), fed milk replacer for 4-5 weeks, placed in a lot</t>
    </r>
  </si>
  <si>
    <t>and fed a limited forage, high grain diet from weaning through 275 lbs.  Calves then transitioned to growing/finishing rations.</t>
  </si>
  <si>
    <t>as-fed</t>
  </si>
  <si>
    <t>Feed Costs/gain, $/lb</t>
  </si>
  <si>
    <t>Breakeven sell price per cwt.</t>
  </si>
  <si>
    <t>Breakeven feeder purchase price per cwt.</t>
  </si>
  <si>
    <t>Enter predicted performance</t>
  </si>
  <si>
    <t>Enter predicted feed conversion</t>
  </si>
  <si>
    <t>Dairy Steer Calves:  Finishing 600 lbs feeder calves to 1375 lbs</t>
  </si>
  <si>
    <t>User input requested</t>
  </si>
  <si>
    <t>Calculated output</t>
  </si>
  <si>
    <t>Dairy Steer Calves:  Finishing 300 lbs feeder calves to 1275 lbs high energy</t>
  </si>
  <si>
    <t>Note:  assumes 100% borrowed</t>
  </si>
  <si>
    <t>Dairy Steer Calves: Birth to Weaning 175</t>
  </si>
  <si>
    <t>Dairy Steer Calves: Weaned calf to 300 lbs</t>
  </si>
  <si>
    <t>Dairy Steer Calves:  Finishing 300 lbs feeder calves to 1375 lbs high energy</t>
  </si>
  <si>
    <t>NOTE:  UWEX offers no guarantee on the accuracy of the information generated.  This is a tool to assist in making decisions.</t>
  </si>
  <si>
    <t>Total Yardage</t>
  </si>
  <si>
    <t>Daily Yardage Cost</t>
  </si>
  <si>
    <t>Total Yardage Cost</t>
  </si>
  <si>
    <t>Additional Livestock costs</t>
  </si>
  <si>
    <t>Overhead Costs (Yardage)</t>
  </si>
  <si>
    <t>dof</t>
  </si>
  <si>
    <t>Days On Feed (DOF)</t>
  </si>
  <si>
    <t>Total yardage cost</t>
  </si>
  <si>
    <t>Daily yardage cost</t>
  </si>
  <si>
    <t>Total yarage cost</t>
  </si>
  <si>
    <t>Days on feed (DOF)</t>
  </si>
  <si>
    <t>Enter the amount</t>
  </si>
  <si>
    <t>in the Diet</t>
  </si>
  <si>
    <t>Enter DM</t>
  </si>
  <si>
    <t>of Ingredient</t>
  </si>
  <si>
    <r>
      <t>Assumptions:</t>
    </r>
    <r>
      <rPr>
        <sz val="10"/>
        <rFont val="Arial"/>
        <family val="2"/>
      </rPr>
      <t xml:space="preserve"> Calves are managed on a high grain ration.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</si>
</sst>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0000_);[Red]\(&quot;$&quot;#,##0.00000\)"/>
    <numFmt numFmtId="167" formatCode="&quot;$&quot;#,##0.0_);[Red]\(&quot;$&quot;#,##0.0\)"/>
    <numFmt numFmtId="168" formatCode="&quot;$&quot;#,##0.000000_);[Red]\(&quot;$&quot;#,##0.000000\)"/>
    <numFmt numFmtId="169" formatCode="&quot;$&quot;#,##0.0000000_);[Red]\(&quot;$&quot;#,##0.0000000\)"/>
    <numFmt numFmtId="170" formatCode="&quot;$&quot;#,##0.00000000_);[Red]\(&quot;$&quot;#,##0.00000000\)"/>
    <numFmt numFmtId="171" formatCode="&quot;$&quot;#,##0.000000000_);[Red]\(&quot;$&quot;#,##0.000000000\)"/>
    <numFmt numFmtId="172" formatCode="&quot;$&quot;#,##0.0000000000_);[Red]\(&quot;$&quot;#,##0.0000000000\)"/>
    <numFmt numFmtId="173" formatCode="&quot;$&quot;#,##0.00000000000_);[Red]\(&quot;$&quot;#,##0.00000000000\)"/>
    <numFmt numFmtId="174" formatCode="_(* #,##0.0_);_(* \(#,##0.0\);_(* &quot;-&quot;??_);_(@_)"/>
    <numFmt numFmtId="175" formatCode="_(* #,##0_);_(* \(#,##0\);_(* &quot;-&quot;??_);_(@_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0000_);_(&quot;$&quot;* \(#,##0.00000\);_(&quot;$&quot;* &quot;-&quot;??_);_(@_)"/>
    <numFmt numFmtId="179" formatCode="_(&quot;$&quot;* #,##0.000000_);_(&quot;$&quot;* \(#,##0.000000\);_(&quot;$&quot;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(* #,##0.00000000000000_);_(* \(#,##0.00000000000000\);_(* &quot;-&quot;??_);_(@_)"/>
    <numFmt numFmtId="198" formatCode="_(* #,##0.000000000000000_);_(* \(#,##0.000000000000000\);_(* &quot;-&quot;??_);_(@_)"/>
    <numFmt numFmtId="199" formatCode="_(* #,##0.0000000000000000_);_(* \(#,##0.0000000000000000\);_(* &quot;-&quot;??_);_(@_)"/>
    <numFmt numFmtId="200" formatCode="_(* #,##0.00000000000000000_);_(* \(#,##0.00000000000000000\);_(* &quot;-&quot;??_);_(@_)"/>
    <numFmt numFmtId="201" formatCode="_(* #,##0.000000000000000000_);_(* \(#,##0.000000000000000000\);_(* &quot;-&quot;??_);_(@_)"/>
    <numFmt numFmtId="202" formatCode="_(* #,##0.0000000000000000000_);_(* \(#,##0.0000000000000000000\);_(* &quot;-&quot;??_);_(@_)"/>
    <numFmt numFmtId="203" formatCode="_(* #,##0.00000000000000000000_);_(* \(#,##0.00000000000000000000\);_(* &quot;-&quot;??_);_(@_)"/>
    <numFmt numFmtId="204" formatCode="_(* #,##0.000000000000000000000_);_(* \(#,##0.000000000000000000000\);_(* &quot;-&quot;??_);_(@_)"/>
    <numFmt numFmtId="205" formatCode="_(* #,##0.0000000000000000000000_);_(* \(#,##0.0000000000000000000000\);_(* &quot;-&quot;??_);_(@_)"/>
    <numFmt numFmtId="206" formatCode="_(* #,##0.00000000000000000000000_);_(* \(#,##0.00000000000000000000000\);_(* &quot;-&quot;??_);_(@_)"/>
    <numFmt numFmtId="207" formatCode="_(* #,##0.000000000000000000000000_);_(* \(#,##0.000000000000000000000000\);_(* &quot;-&quot;??_);_(@_)"/>
    <numFmt numFmtId="208" formatCode="_(* #,##0.0000000000000000000000000_);_(* \(#,##0.0000000000000000000000000\);_(* &quot;-&quot;??_);_(@_)"/>
    <numFmt numFmtId="209" formatCode="_(* #,##0.00000000000000000000000000_);_(* \(#,##0.00000000000000000000000000\);_(* &quot;-&quot;??_);_(@_)"/>
    <numFmt numFmtId="210" formatCode="_(* #,##0.000000000000000000000000000_);_(* \(#,##0.000000000000000000000000000\);_(* &quot;-&quot;??_);_(@_)"/>
    <numFmt numFmtId="211" formatCode="_(* #,##0.0000000000000000000000000000_);_(* \(#,##0.0000000000000000000000000000\);_(* &quot;-&quot;??_);_(@_)"/>
    <numFmt numFmtId="212" formatCode="_(* #,##0.00000000000000000000000000000_);_(* \(#,##0.00000000000000000000000000000\);_(* &quot;-&quot;??_);_(@_)"/>
    <numFmt numFmtId="213" formatCode="_(* #,##0.000000000000000000000000000000_);_(* \(#,##0.000000000000000000000000000000\);_(* &quot;-&quot;??_);_(@_)"/>
    <numFmt numFmtId="214" formatCode="_(* #,##0.0000000000000000000000000000000_);_(* \(#,##0.0000000000000000000000000000000\);_(* &quot;-&quot;??_);_(@_)"/>
    <numFmt numFmtId="215" formatCode="_(* #,##0.00000000000000000000000000000000_);_(* \(#,##0.00000000000000000000000000000000\);_(* &quot;-&quot;??_);_(@_)"/>
    <numFmt numFmtId="216" formatCode="_(* #,##0.000000000000000000000000000000000_);_(* \(#,##0.000000000000000000000000000000000\);_(* &quot;-&quot;??_);_(@_)"/>
    <numFmt numFmtId="217" formatCode="_(* #,##0.0000000000000000000000000000000000_);_(* \(#,##0.0000000000000000000000000000000000\);_(* &quot;-&quot;??_);_(@_)"/>
    <numFmt numFmtId="218" formatCode="_(* #,##0.00000000000000000000000000000000000_);_(* \(#,##0.00000000000000000000000000000000000\);_(* &quot;-&quot;??_);_(@_)"/>
    <numFmt numFmtId="219" formatCode="_(* #,##0.000000000000000000000000000000000000_);_(* \(#,##0.000000000000000000000000000000000000\);_(* &quot;-&quot;??_);_(@_)"/>
    <numFmt numFmtId="220" formatCode="0.0"/>
    <numFmt numFmtId="221" formatCode="_(&quot;$&quot;* #,##0.0_);_(&quot;$&quot;* \(#,##0.0\);_(&quot;$&quot;* &quot;-&quot;??_);_(@_)"/>
    <numFmt numFmtId="222" formatCode="_(&quot;$&quot;* #,##0_);_(&quot;$&quot;* \(#,##0\);_(&quot;$&quot;* &quot;-&quot;??_);_(@_)"/>
    <numFmt numFmtId="223" formatCode="&quot;$&quot;#,##0"/>
    <numFmt numFmtId="224" formatCode="&quot;$&quot;#,##0.00"/>
    <numFmt numFmtId="225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4" fillId="0" borderId="0" xfId="0" applyNumberFormat="1" applyFont="1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8" fontId="0" fillId="0" borderId="0" xfId="17" applyNumberFormat="1" applyAlignment="1">
      <alignment/>
    </xf>
    <xf numFmtId="8" fontId="4" fillId="0" borderId="0" xfId="17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8" fontId="1" fillId="0" borderId="0" xfId="17" applyNumberFormat="1" applyFont="1" applyAlignment="1">
      <alignment/>
    </xf>
    <xf numFmtId="8" fontId="0" fillId="0" borderId="0" xfId="17" applyNumberFormat="1" applyFont="1" applyAlignment="1">
      <alignment/>
    </xf>
    <xf numFmtId="8" fontId="0" fillId="0" borderId="0" xfId="0" applyNumberFormat="1" applyFont="1" applyAlignment="1">
      <alignment/>
    </xf>
    <xf numFmtId="0" fontId="5" fillId="0" borderId="0" xfId="0" applyFont="1" applyAlignment="1">
      <alignment/>
    </xf>
    <xf numFmtId="223" fontId="0" fillId="0" borderId="0" xfId="17" applyNumberFormat="1" applyAlignment="1">
      <alignment/>
    </xf>
    <xf numFmtId="224" fontId="0" fillId="0" borderId="0" xfId="0" applyNumberFormat="1" applyAlignment="1">
      <alignment/>
    </xf>
    <xf numFmtId="223" fontId="0" fillId="0" borderId="0" xfId="0" applyNumberFormat="1" applyAlignment="1">
      <alignment/>
    </xf>
    <xf numFmtId="224" fontId="0" fillId="0" borderId="0" xfId="17" applyNumberFormat="1" applyAlignment="1">
      <alignment/>
    </xf>
    <xf numFmtId="0" fontId="6" fillId="0" borderId="0" xfId="0" applyFont="1" applyAlignment="1">
      <alignment/>
    </xf>
    <xf numFmtId="225" fontId="0" fillId="0" borderId="0" xfId="0" applyNumberFormat="1" applyAlignment="1">
      <alignment/>
    </xf>
    <xf numFmtId="43" fontId="0" fillId="0" borderId="0" xfId="15" applyFont="1" applyAlignment="1">
      <alignment/>
    </xf>
    <xf numFmtId="224" fontId="0" fillId="0" borderId="0" xfId="17" applyNumberFormat="1" applyFont="1" applyAlignment="1">
      <alignment/>
    </xf>
    <xf numFmtId="8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17" applyNumberFormat="1" applyAlignment="1">
      <alignment/>
    </xf>
    <xf numFmtId="1" fontId="0" fillId="0" borderId="0" xfId="17" applyNumberFormat="1" applyFont="1" applyAlignment="1">
      <alignment horizontal="center"/>
    </xf>
    <xf numFmtId="1" fontId="4" fillId="0" borderId="0" xfId="17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17" applyNumberFormat="1" applyAlignment="1">
      <alignment horizontal="center"/>
    </xf>
    <xf numFmtId="1" fontId="0" fillId="0" borderId="0" xfId="17" applyNumberFormat="1" applyFont="1" applyFill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2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224" fontId="0" fillId="2" borderId="1" xfId="17" applyNumberFormat="1" applyFill="1" applyBorder="1" applyAlignment="1">
      <alignment/>
    </xf>
    <xf numFmtId="224" fontId="0" fillId="2" borderId="1" xfId="17" applyNumberFormat="1" applyFont="1" applyFill="1" applyBorder="1" applyAlignment="1">
      <alignment/>
    </xf>
    <xf numFmtId="8" fontId="0" fillId="3" borderId="1" xfId="0" applyNumberFormat="1" applyFill="1" applyBorder="1" applyAlignment="1">
      <alignment/>
    </xf>
    <xf numFmtId="8" fontId="0" fillId="3" borderId="1" xfId="0" applyNumberFormat="1" applyFont="1" applyFill="1" applyBorder="1" applyAlignment="1">
      <alignment/>
    </xf>
    <xf numFmtId="8" fontId="4" fillId="3" borderId="1" xfId="0" applyNumberFormat="1" applyFont="1" applyFill="1" applyBorder="1" applyAlignment="1">
      <alignment/>
    </xf>
    <xf numFmtId="8" fontId="0" fillId="3" borderId="1" xfId="17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9" fontId="0" fillId="2" borderId="1" xfId="0" applyNumberFormat="1" applyFill="1" applyBorder="1" applyAlignment="1">
      <alignment/>
    </xf>
    <xf numFmtId="1" fontId="0" fillId="3" borderId="1" xfId="17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17" applyNumberFormat="1" applyFont="1" applyFill="1" applyBorder="1" applyAlignment="1">
      <alignment horizontal="center"/>
    </xf>
    <xf numFmtId="6" fontId="0" fillId="3" borderId="1" xfId="0" applyNumberFormat="1" applyFill="1" applyBorder="1" applyAlignment="1">
      <alignment/>
    </xf>
    <xf numFmtId="8" fontId="0" fillId="2" borderId="1" xfId="17" applyNumberFormat="1" applyFill="1" applyBorder="1" applyAlignment="1">
      <alignment/>
    </xf>
    <xf numFmtId="8" fontId="0" fillId="2" borderId="1" xfId="17" applyNumberFormat="1" applyFont="1" applyFill="1" applyBorder="1" applyAlignment="1">
      <alignment/>
    </xf>
    <xf numFmtId="8" fontId="4" fillId="3" borderId="1" xfId="17" applyNumberFormat="1" applyFont="1" applyFill="1" applyBorder="1" applyAlignment="1">
      <alignment/>
    </xf>
    <xf numFmtId="224" fontId="0" fillId="2" borderId="1" xfId="0" applyNumberFormat="1" applyFill="1" applyBorder="1" applyAlignment="1">
      <alignment/>
    </xf>
    <xf numFmtId="8" fontId="1" fillId="3" borderId="1" xfId="17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224" fontId="0" fillId="3" borderId="1" xfId="17" applyNumberFormat="1" applyFill="1" applyBorder="1" applyAlignment="1">
      <alignment/>
    </xf>
    <xf numFmtId="224" fontId="0" fillId="3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224" fontId="0" fillId="0" borderId="0" xfId="17" applyNumberFormat="1" applyFont="1" applyBorder="1" applyAlignment="1">
      <alignment/>
    </xf>
    <xf numFmtId="224" fontId="0" fillId="0" borderId="0" xfId="17" applyNumberFormat="1" applyBorder="1" applyAlignment="1">
      <alignment/>
    </xf>
    <xf numFmtId="6" fontId="0" fillId="3" borderId="2" xfId="0" applyNumberFormat="1" applyFill="1" applyBorder="1" applyAlignment="1">
      <alignment/>
    </xf>
    <xf numFmtId="6" fontId="0" fillId="3" borderId="3" xfId="0" applyNumberFormat="1" applyFill="1" applyBorder="1" applyAlignment="1">
      <alignment/>
    </xf>
    <xf numFmtId="0" fontId="0" fillId="0" borderId="0" xfId="0" applyBorder="1" applyAlignment="1">
      <alignment/>
    </xf>
    <xf numFmtId="8" fontId="0" fillId="4" borderId="1" xfId="0" applyNumberFormat="1" applyFill="1" applyBorder="1" applyAlignment="1">
      <alignment/>
    </xf>
    <xf numFmtId="8" fontId="0" fillId="4" borderId="1" xfId="0" applyNumberFormat="1" applyFont="1" applyFill="1" applyBorder="1" applyAlignment="1">
      <alignment/>
    </xf>
    <xf numFmtId="8" fontId="4" fillId="4" borderId="1" xfId="0" applyNumberFormat="1" applyFont="1" applyFill="1" applyBorder="1" applyAlignment="1">
      <alignment/>
    </xf>
    <xf numFmtId="8" fontId="0" fillId="4" borderId="1" xfId="17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8" fontId="0" fillId="0" borderId="0" xfId="17" applyNumberFormat="1" applyBorder="1" applyAlignment="1">
      <alignment/>
    </xf>
    <xf numFmtId="8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8" fontId="1" fillId="3" borderId="3" xfId="17" applyNumberFormat="1" applyFont="1" applyFill="1" applyBorder="1" applyAlignment="1">
      <alignment/>
    </xf>
    <xf numFmtId="225" fontId="0" fillId="0" borderId="0" xfId="0" applyNumberFormat="1" applyFill="1" applyBorder="1" applyAlignment="1">
      <alignment/>
    </xf>
    <xf numFmtId="8" fontId="4" fillId="0" borderId="0" xfId="0" applyNumberFormat="1" applyFont="1" applyFill="1" applyBorder="1" applyAlignment="1">
      <alignment/>
    </xf>
    <xf numFmtId="225" fontId="0" fillId="0" borderId="4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zoomScaleSheetLayoutView="100" workbookViewId="0" topLeftCell="A1">
      <selection activeCell="A70" sqref="A70"/>
    </sheetView>
  </sheetViews>
  <sheetFormatPr defaultColWidth="9.140625" defaultRowHeight="12.75"/>
  <cols>
    <col min="1" max="2" width="2.7109375" style="0" customWidth="1"/>
    <col min="3" max="3" width="8.8515625" style="0" customWidth="1"/>
    <col min="4" max="4" width="10.7109375" style="0" customWidth="1"/>
    <col min="5" max="6" width="5.7109375" style="0" customWidth="1"/>
    <col min="7" max="7" width="8.7109375" style="0" customWidth="1"/>
    <col min="8" max="8" width="6.00390625" style="0" customWidth="1"/>
    <col min="9" max="9" width="10.7109375" style="0" customWidth="1"/>
    <col min="10" max="10" width="1.7109375" style="0" customWidth="1"/>
    <col min="11" max="11" width="4.7109375" style="0" customWidth="1"/>
    <col min="12" max="12" width="6.7109375" style="0" customWidth="1"/>
    <col min="13" max="13" width="5.7109375" style="0" customWidth="1"/>
    <col min="14" max="14" width="8.7109375" style="0" customWidth="1"/>
    <col min="15" max="15" width="6.00390625" style="0" customWidth="1"/>
    <col min="16" max="16" width="10.7109375" style="0" customWidth="1"/>
    <col min="17" max="16384" width="8.8515625" style="0" customWidth="1"/>
  </cols>
  <sheetData>
    <row r="1" ht="12.75">
      <c r="N1" t="s">
        <v>43</v>
      </c>
    </row>
    <row r="2" s="15" customFormat="1" ht="15.75">
      <c r="A2" s="15" t="s">
        <v>66</v>
      </c>
    </row>
    <row r="3" s="10" customFormat="1" ht="12.75"/>
    <row r="4" s="5" customFormat="1" ht="12.75">
      <c r="D4" s="5" t="s">
        <v>89</v>
      </c>
    </row>
    <row r="5" s="10" customFormat="1" ht="12.75">
      <c r="B5" s="5" t="s">
        <v>76</v>
      </c>
    </row>
    <row r="6" s="10" customFormat="1" ht="12.75">
      <c r="B6" s="10" t="s">
        <v>77</v>
      </c>
    </row>
    <row r="7" spans="16:17" s="10" customFormat="1" ht="12.75">
      <c r="P7" s="37"/>
      <c r="Q7" s="10" t="s">
        <v>85</v>
      </c>
    </row>
    <row r="8" spans="16:17" s="5" customFormat="1" ht="12.75">
      <c r="P8" s="38"/>
      <c r="Q8" s="10" t="s">
        <v>86</v>
      </c>
    </row>
    <row r="9" s="5" customFormat="1" ht="12.75">
      <c r="B9" s="5" t="s">
        <v>67</v>
      </c>
    </row>
    <row r="10" spans="2:17" s="1" customFormat="1" ht="12.75">
      <c r="B10" s="20" t="s">
        <v>0</v>
      </c>
      <c r="E10" s="1" t="s">
        <v>45</v>
      </c>
      <c r="F10" s="1" t="s">
        <v>26</v>
      </c>
      <c r="G10" s="1" t="s">
        <v>46</v>
      </c>
      <c r="H10" s="1" t="s">
        <v>47</v>
      </c>
      <c r="I10" s="1" t="s">
        <v>48</v>
      </c>
      <c r="L10" s="10" t="s">
        <v>69</v>
      </c>
      <c r="M10" s="25"/>
      <c r="N10" s="25"/>
      <c r="O10" s="25"/>
      <c r="P10" s="35">
        <v>2</v>
      </c>
      <c r="Q10" s="10" t="s">
        <v>82</v>
      </c>
    </row>
    <row r="11" spans="3:17" ht="12.75">
      <c r="C11" t="s">
        <v>17</v>
      </c>
      <c r="E11" s="39">
        <v>175</v>
      </c>
      <c r="F11" t="s">
        <v>25</v>
      </c>
      <c r="G11" s="52">
        <v>135</v>
      </c>
      <c r="H11" s="2" t="s">
        <v>31</v>
      </c>
      <c r="I11" s="54">
        <f>E11*(G11/100)</f>
        <v>236.25000000000003</v>
      </c>
      <c r="J11" s="2"/>
      <c r="L11" s="5"/>
      <c r="M11" s="26"/>
      <c r="N11" s="26"/>
      <c r="O11" s="26"/>
      <c r="P11" s="27"/>
      <c r="Q11" s="5"/>
    </row>
    <row r="12" spans="3:16" ht="12.75">
      <c r="C12" t="s">
        <v>13</v>
      </c>
      <c r="I12" s="45">
        <f>SUM(I11:I11)</f>
        <v>236.25000000000003</v>
      </c>
      <c r="J12" s="2"/>
      <c r="L12" t="s">
        <v>99</v>
      </c>
      <c r="M12" s="28"/>
      <c r="N12" s="29"/>
      <c r="O12" s="28"/>
      <c r="P12" s="50">
        <f>P14/P10</f>
        <v>40</v>
      </c>
    </row>
    <row r="13" spans="9:16" ht="12.75">
      <c r="I13" s="2"/>
      <c r="M13" s="28"/>
      <c r="N13" s="28"/>
      <c r="O13" s="28"/>
      <c r="P13" s="30"/>
    </row>
    <row r="14" spans="2:17" s="1" customFormat="1" ht="12.75">
      <c r="B14" s="20" t="s">
        <v>1</v>
      </c>
      <c r="E14" s="1" t="s">
        <v>51</v>
      </c>
      <c r="F14" s="1" t="s">
        <v>49</v>
      </c>
      <c r="G14" s="1" t="s">
        <v>50</v>
      </c>
      <c r="H14" s="1" t="s">
        <v>52</v>
      </c>
      <c r="I14" s="1" t="s">
        <v>48</v>
      </c>
      <c r="L14" t="s">
        <v>70</v>
      </c>
      <c r="M14" s="28"/>
      <c r="N14" s="28"/>
      <c r="O14" s="28"/>
      <c r="P14" s="57">
        <f>E11-E16</f>
        <v>80</v>
      </c>
      <c r="Q14"/>
    </row>
    <row r="15" spans="1:17" ht="12.75">
      <c r="A15" t="s">
        <v>10</v>
      </c>
      <c r="B15" s="1" t="s">
        <v>53</v>
      </c>
      <c r="C15" s="1"/>
      <c r="K15" s="1"/>
      <c r="L15" s="1"/>
      <c r="M15" s="25"/>
      <c r="N15" s="25"/>
      <c r="O15" s="25"/>
      <c r="P15" s="27"/>
      <c r="Q15" s="1"/>
    </row>
    <row r="16" spans="3:17" ht="12.75">
      <c r="C16" t="s">
        <v>11</v>
      </c>
      <c r="E16" s="39">
        <v>95</v>
      </c>
      <c r="F16" t="s">
        <v>25</v>
      </c>
      <c r="G16" s="52">
        <v>120</v>
      </c>
      <c r="H16" s="2" t="s">
        <v>31</v>
      </c>
      <c r="I16" s="45">
        <f>E16*(G16/100)</f>
        <v>114</v>
      </c>
      <c r="J16" s="2"/>
      <c r="L16" t="s">
        <v>71</v>
      </c>
      <c r="M16" s="28"/>
      <c r="N16" s="28"/>
      <c r="O16" s="28"/>
      <c r="P16" s="36">
        <v>2</v>
      </c>
      <c r="Q16" t="s">
        <v>83</v>
      </c>
    </row>
    <row r="17" spans="3:17" s="10" customFormat="1" ht="12.75">
      <c r="C17" s="10" t="s">
        <v>18</v>
      </c>
      <c r="G17" s="53">
        <v>2</v>
      </c>
      <c r="H17" s="10" t="s">
        <v>32</v>
      </c>
      <c r="I17" s="54">
        <f>G17</f>
        <v>2</v>
      </c>
      <c r="J17" s="14"/>
      <c r="L17"/>
      <c r="M17" s="28"/>
      <c r="N17" s="29"/>
      <c r="O17" s="28"/>
      <c r="P17" s="30"/>
      <c r="Q17"/>
    </row>
    <row r="18" spans="3:17" ht="12.75">
      <c r="C18" t="s">
        <v>19</v>
      </c>
      <c r="I18" s="45">
        <f>SUM(I16:I17)</f>
        <v>116</v>
      </c>
      <c r="J18" s="2"/>
      <c r="L18" t="s">
        <v>72</v>
      </c>
      <c r="M18" s="25"/>
      <c r="N18" s="31"/>
      <c r="O18" s="25"/>
      <c r="P18" s="50">
        <f>P16*P14</f>
        <v>160</v>
      </c>
      <c r="Q18" s="1"/>
    </row>
    <row r="19" spans="9:17" ht="12.75">
      <c r="I19" s="8"/>
      <c r="J19" s="2"/>
      <c r="M19" s="25"/>
      <c r="N19" s="31"/>
      <c r="O19" s="25"/>
      <c r="P19" s="34"/>
      <c r="Q19" s="1"/>
    </row>
    <row r="20" spans="9:17" ht="12.75">
      <c r="I20" s="8"/>
      <c r="J20" s="2"/>
      <c r="L20" t="s">
        <v>104</v>
      </c>
      <c r="M20" s="25"/>
      <c r="N20" s="31"/>
      <c r="O20" s="81" t="s">
        <v>106</v>
      </c>
      <c r="P20" s="34"/>
      <c r="Q20" s="1"/>
    </row>
    <row r="21" spans="9:17" ht="12.75">
      <c r="I21" s="8"/>
      <c r="J21" s="2"/>
      <c r="L21" t="s">
        <v>105</v>
      </c>
      <c r="M21" s="25"/>
      <c r="N21" s="31"/>
      <c r="O21" s="81" t="s">
        <v>107</v>
      </c>
      <c r="P21" s="34"/>
      <c r="Q21" s="1"/>
    </row>
    <row r="22" spans="2:16" ht="12.75">
      <c r="B22" s="1" t="s">
        <v>54</v>
      </c>
      <c r="K22" s="1"/>
      <c r="L22" t="s">
        <v>74</v>
      </c>
      <c r="M22" s="28"/>
      <c r="N22" s="32" t="s">
        <v>73</v>
      </c>
      <c r="O22" s="32" t="s">
        <v>74</v>
      </c>
      <c r="P22" s="27" t="s">
        <v>78</v>
      </c>
    </row>
    <row r="23" spans="3:16" ht="12.75">
      <c r="C23" t="s">
        <v>20</v>
      </c>
      <c r="E23" s="39">
        <v>50</v>
      </c>
      <c r="F23" t="s">
        <v>25</v>
      </c>
      <c r="G23" s="40">
        <v>60</v>
      </c>
      <c r="H23" t="s">
        <v>31</v>
      </c>
      <c r="I23" s="42">
        <f>E23*(G23/100)</f>
        <v>30</v>
      </c>
      <c r="J23" s="2"/>
      <c r="M23" s="28"/>
      <c r="N23" s="33"/>
      <c r="O23" s="32"/>
      <c r="P23" s="30"/>
    </row>
    <row r="24" spans="3:16" ht="12.75">
      <c r="C24" t="s">
        <v>21</v>
      </c>
      <c r="E24" s="39">
        <v>75</v>
      </c>
      <c r="F24" t="s">
        <v>25</v>
      </c>
      <c r="G24" s="40">
        <v>28</v>
      </c>
      <c r="H24" t="s">
        <v>31</v>
      </c>
      <c r="I24" s="42">
        <f>E24*(G24/100)</f>
        <v>21.000000000000004</v>
      </c>
      <c r="J24" s="2"/>
      <c r="M24" s="28"/>
      <c r="N24" s="33"/>
      <c r="O24" s="32"/>
      <c r="P24" s="30"/>
    </row>
    <row r="25" spans="3:16" ht="12.75">
      <c r="C25" t="s">
        <v>36</v>
      </c>
      <c r="E25" s="46">
        <f>P25</f>
        <v>0</v>
      </c>
      <c r="F25" t="s">
        <v>25</v>
      </c>
      <c r="G25" s="40">
        <v>4</v>
      </c>
      <c r="H25" t="s">
        <v>35</v>
      </c>
      <c r="I25" s="42">
        <f>E25*(G25/56)</f>
        <v>0</v>
      </c>
      <c r="J25" s="2"/>
      <c r="L25" s="47">
        <v>0</v>
      </c>
      <c r="M25" s="28"/>
      <c r="N25" s="48">
        <f aca="true" t="shared" si="0" ref="N25:N30">L25*P$18</f>
        <v>0</v>
      </c>
      <c r="O25" s="49">
        <v>86</v>
      </c>
      <c r="P25" s="50">
        <f aca="true" t="shared" si="1" ref="P25:P30">N25/(O25/100)</f>
        <v>0</v>
      </c>
    </row>
    <row r="26" spans="3:16" ht="12.75">
      <c r="C26" t="s">
        <v>39</v>
      </c>
      <c r="E26" s="46">
        <f>P26</f>
        <v>0</v>
      </c>
      <c r="F26" t="s">
        <v>25</v>
      </c>
      <c r="G26" s="40">
        <v>1</v>
      </c>
      <c r="H26" t="s">
        <v>35</v>
      </c>
      <c r="I26" s="42">
        <f>E26*(G26/32)</f>
        <v>0</v>
      </c>
      <c r="J26" s="2"/>
      <c r="L26" s="47">
        <v>0</v>
      </c>
      <c r="M26" s="28"/>
      <c r="N26" s="48">
        <f t="shared" si="0"/>
        <v>0</v>
      </c>
      <c r="O26" s="49">
        <v>86</v>
      </c>
      <c r="P26" s="50">
        <f t="shared" si="1"/>
        <v>0</v>
      </c>
    </row>
    <row r="27" spans="3:16" ht="12.75">
      <c r="C27" t="s">
        <v>63</v>
      </c>
      <c r="E27" s="46">
        <f>P27</f>
        <v>0</v>
      </c>
      <c r="F27" t="s">
        <v>25</v>
      </c>
      <c r="G27" s="40">
        <v>475</v>
      </c>
      <c r="H27" t="s">
        <v>33</v>
      </c>
      <c r="I27" s="42">
        <f>E27*G27/2000</f>
        <v>0</v>
      </c>
      <c r="L27" s="47">
        <v>0</v>
      </c>
      <c r="M27" s="28"/>
      <c r="N27" s="48">
        <f t="shared" si="0"/>
        <v>0</v>
      </c>
      <c r="O27" s="49">
        <v>92</v>
      </c>
      <c r="P27" s="50">
        <f t="shared" si="1"/>
        <v>0</v>
      </c>
    </row>
    <row r="28" spans="3:16" ht="12.75">
      <c r="C28" t="s">
        <v>64</v>
      </c>
      <c r="E28" s="46">
        <f aca="true" t="shared" si="2" ref="E28:E36">P28</f>
        <v>0</v>
      </c>
      <c r="F28" t="s">
        <v>25</v>
      </c>
      <c r="G28" s="40">
        <v>0</v>
      </c>
      <c r="H28" t="s">
        <v>33</v>
      </c>
      <c r="I28" s="42">
        <f>E28*G28/2000</f>
        <v>0</v>
      </c>
      <c r="L28" s="47">
        <v>0</v>
      </c>
      <c r="M28" s="28"/>
      <c r="N28" s="48">
        <f t="shared" si="0"/>
        <v>0</v>
      </c>
      <c r="O28" s="49">
        <v>92</v>
      </c>
      <c r="P28" s="50">
        <f t="shared" si="1"/>
        <v>0</v>
      </c>
    </row>
    <row r="29" spans="3:16" ht="12.75">
      <c r="C29" t="s">
        <v>61</v>
      </c>
      <c r="E29" s="46">
        <f t="shared" si="2"/>
        <v>0</v>
      </c>
      <c r="F29" t="s">
        <v>25</v>
      </c>
      <c r="G29" s="40">
        <v>80</v>
      </c>
      <c r="H29" t="s">
        <v>33</v>
      </c>
      <c r="I29" s="42">
        <f>E29*(G29/2000)</f>
        <v>0</v>
      </c>
      <c r="J29" s="2"/>
      <c r="L29" s="47">
        <v>0</v>
      </c>
      <c r="M29" s="28"/>
      <c r="N29" s="48">
        <f t="shared" si="0"/>
        <v>0</v>
      </c>
      <c r="O29" s="49">
        <v>38</v>
      </c>
      <c r="P29" s="50">
        <f t="shared" si="1"/>
        <v>0</v>
      </c>
    </row>
    <row r="30" spans="3:16" ht="12.75">
      <c r="C30" t="s">
        <v>62</v>
      </c>
      <c r="E30" s="46">
        <f t="shared" si="2"/>
        <v>0</v>
      </c>
      <c r="F30" t="s">
        <v>25</v>
      </c>
      <c r="G30" s="40">
        <v>35</v>
      </c>
      <c r="H30" t="s">
        <v>33</v>
      </c>
      <c r="I30" s="42">
        <f>E30*(G30/2000)</f>
        <v>0</v>
      </c>
      <c r="L30" s="47">
        <v>0</v>
      </c>
      <c r="M30" s="28"/>
      <c r="N30" s="48">
        <f t="shared" si="0"/>
        <v>0</v>
      </c>
      <c r="O30" s="49">
        <v>38</v>
      </c>
      <c r="P30" s="50">
        <f t="shared" si="1"/>
        <v>0</v>
      </c>
    </row>
    <row r="31" spans="3:16" ht="12.75">
      <c r="C31" t="s">
        <v>2</v>
      </c>
      <c r="E31" s="60">
        <f t="shared" si="2"/>
        <v>0</v>
      </c>
      <c r="F31" t="s">
        <v>55</v>
      </c>
      <c r="G31" s="40">
        <v>65</v>
      </c>
      <c r="H31" t="s">
        <v>34</v>
      </c>
      <c r="I31" s="42">
        <f>E31*G31</f>
        <v>0</v>
      </c>
      <c r="J31" s="2"/>
      <c r="L31" s="11"/>
      <c r="N31" s="19"/>
      <c r="P31" s="8"/>
    </row>
    <row r="32" spans="3:9" ht="12.75">
      <c r="C32" t="s">
        <v>65</v>
      </c>
      <c r="E32" s="60">
        <f t="shared" si="2"/>
        <v>0</v>
      </c>
      <c r="F32" t="s">
        <v>25</v>
      </c>
      <c r="G32" s="40">
        <v>5</v>
      </c>
      <c r="H32" t="s">
        <v>31</v>
      </c>
      <c r="I32" s="42">
        <f>E32*G32/100</f>
        <v>0</v>
      </c>
    </row>
    <row r="33" spans="3:10" ht="12.75">
      <c r="C33" t="s">
        <v>22</v>
      </c>
      <c r="E33" s="60">
        <f t="shared" si="2"/>
        <v>0</v>
      </c>
      <c r="F33" t="s">
        <v>25</v>
      </c>
      <c r="G33" s="40">
        <v>18</v>
      </c>
      <c r="H33" t="s">
        <v>31</v>
      </c>
      <c r="I33" s="42">
        <f>E33*(G33/100)</f>
        <v>0</v>
      </c>
      <c r="J33" s="2"/>
    </row>
    <row r="34" spans="3:16" s="10" customFormat="1" ht="12.75">
      <c r="C34" s="10" t="s">
        <v>3</v>
      </c>
      <c r="E34" s="60">
        <f t="shared" si="2"/>
        <v>0</v>
      </c>
      <c r="F34" s="10" t="s">
        <v>25</v>
      </c>
      <c r="G34" s="41">
        <v>13</v>
      </c>
      <c r="H34" s="10" t="s">
        <v>31</v>
      </c>
      <c r="I34" s="43">
        <f>E34*(G34/100)</f>
        <v>0</v>
      </c>
      <c r="J34" s="14"/>
      <c r="K34"/>
      <c r="L34" s="11"/>
      <c r="N34" s="23"/>
      <c r="P34" s="13"/>
    </row>
    <row r="35" spans="3:16" s="10" customFormat="1" ht="12.75">
      <c r="C35" s="10" t="s">
        <v>42</v>
      </c>
      <c r="E35" s="60">
        <f t="shared" si="2"/>
        <v>0</v>
      </c>
      <c r="F35" s="10" t="s">
        <v>25</v>
      </c>
      <c r="G35" s="41">
        <v>32</v>
      </c>
      <c r="H35" s="10" t="s">
        <v>31</v>
      </c>
      <c r="I35" s="43">
        <f>E35*(G35/100)</f>
        <v>0</v>
      </c>
      <c r="J35" s="14"/>
      <c r="K35"/>
      <c r="L35" s="11"/>
      <c r="N35" s="23"/>
      <c r="P35" s="13"/>
    </row>
    <row r="36" spans="3:16" s="10" customFormat="1" ht="12.75">
      <c r="C36" s="10" t="s">
        <v>41</v>
      </c>
      <c r="E36" s="60">
        <f t="shared" si="2"/>
        <v>0</v>
      </c>
      <c r="F36" s="10" t="s">
        <v>25</v>
      </c>
      <c r="G36" s="41">
        <v>0.15</v>
      </c>
      <c r="H36" s="10" t="s">
        <v>31</v>
      </c>
      <c r="I36" s="44">
        <f>E36*(G36/100)</f>
        <v>0</v>
      </c>
      <c r="J36" s="14"/>
      <c r="L36" s="11"/>
      <c r="N36" s="61"/>
      <c r="P36" s="9"/>
    </row>
    <row r="37" spans="3:16" ht="12.75">
      <c r="C37" t="s">
        <v>4</v>
      </c>
      <c r="I37" s="45">
        <f>SUM(I23:I36)</f>
        <v>51</v>
      </c>
      <c r="J37" s="2"/>
      <c r="P37" s="8"/>
    </row>
    <row r="38" spans="3:16" ht="12.75">
      <c r="C38" t="s">
        <v>79</v>
      </c>
      <c r="I38" s="45">
        <f>I37/P14</f>
        <v>0.6375</v>
      </c>
      <c r="J38" s="2"/>
      <c r="P38" s="8"/>
    </row>
    <row r="39" spans="9:16" ht="12.75">
      <c r="I39" s="8"/>
      <c r="J39" s="2"/>
      <c r="P39" s="8"/>
    </row>
    <row r="40" spans="2:11" ht="12.75">
      <c r="B40" s="1" t="s">
        <v>96</v>
      </c>
      <c r="K40" s="1"/>
    </row>
    <row r="41" spans="3:16" ht="12.75">
      <c r="C41" t="s">
        <v>12</v>
      </c>
      <c r="E41" s="39">
        <v>5</v>
      </c>
      <c r="F41" t="s">
        <v>27</v>
      </c>
      <c r="G41" s="6"/>
      <c r="H41" s="2"/>
      <c r="I41" s="45">
        <f>I12*(E41/100)</f>
        <v>11.812500000000002</v>
      </c>
      <c r="J41" s="2"/>
      <c r="N41" s="6"/>
      <c r="P41" s="8"/>
    </row>
    <row r="42" spans="3:16" ht="12.75">
      <c r="C42" t="s">
        <v>23</v>
      </c>
      <c r="E42" s="51">
        <f>I18</f>
        <v>116</v>
      </c>
      <c r="F42" t="s">
        <v>56</v>
      </c>
      <c r="G42" s="39">
        <v>10</v>
      </c>
      <c r="H42" s="2" t="s">
        <v>37</v>
      </c>
      <c r="I42" s="45">
        <f>E42*(G42/100)*(P$12/365)</f>
        <v>1.2712328767123289</v>
      </c>
      <c r="J42" s="2"/>
      <c r="K42" t="s">
        <v>88</v>
      </c>
      <c r="P42" s="8"/>
    </row>
    <row r="43" spans="3:16" ht="12.75">
      <c r="C43" t="s">
        <v>24</v>
      </c>
      <c r="E43" s="51">
        <f>0.5*I37</f>
        <v>25.5</v>
      </c>
      <c r="F43" t="s">
        <v>56</v>
      </c>
      <c r="G43" s="39">
        <v>10</v>
      </c>
      <c r="H43" s="2" t="s">
        <v>37</v>
      </c>
      <c r="I43" s="45">
        <f>(E43)*(G43/100)*(P$12/365)</f>
        <v>0.27945205479452057</v>
      </c>
      <c r="J43" s="2"/>
      <c r="K43" t="s">
        <v>88</v>
      </c>
      <c r="M43" s="7"/>
      <c r="P43" s="8"/>
    </row>
    <row r="44" spans="3:16" ht="12.75">
      <c r="C44" t="s">
        <v>5</v>
      </c>
      <c r="E44" s="39">
        <f>5*P12</f>
        <v>200</v>
      </c>
      <c r="F44" t="s">
        <v>25</v>
      </c>
      <c r="G44" s="52">
        <v>35</v>
      </c>
      <c r="H44" s="2" t="s">
        <v>33</v>
      </c>
      <c r="I44" s="45">
        <f>E44*(G44/2000)</f>
        <v>3.5000000000000004</v>
      </c>
      <c r="J44" s="2"/>
      <c r="N44" s="8"/>
      <c r="P44" s="8"/>
    </row>
    <row r="45" spans="3:16" ht="12.75">
      <c r="C45" t="s">
        <v>6</v>
      </c>
      <c r="G45" s="52">
        <v>3</v>
      </c>
      <c r="H45" s="2" t="s">
        <v>32</v>
      </c>
      <c r="I45" s="45">
        <f>G45</f>
        <v>3</v>
      </c>
      <c r="J45" s="2"/>
      <c r="L45" s="6"/>
      <c r="N45" s="8"/>
      <c r="P45" s="8"/>
    </row>
    <row r="46" spans="3:16" ht="12.75">
      <c r="C46" t="s">
        <v>15</v>
      </c>
      <c r="G46" s="52">
        <v>14</v>
      </c>
      <c r="H46" s="2" t="s">
        <v>32</v>
      </c>
      <c r="I46" s="45">
        <f>G46</f>
        <v>14</v>
      </c>
      <c r="J46" s="2"/>
      <c r="L46" s="6"/>
      <c r="N46" s="8"/>
      <c r="P46" s="8"/>
    </row>
    <row r="47" spans="3:16" ht="12.75">
      <c r="C47" t="s">
        <v>7</v>
      </c>
      <c r="G47" s="52">
        <v>3</v>
      </c>
      <c r="H47" s="2" t="s">
        <v>32</v>
      </c>
      <c r="I47" s="45">
        <f>G47</f>
        <v>3</v>
      </c>
      <c r="J47" s="2"/>
      <c r="L47" s="6"/>
      <c r="N47" s="8"/>
      <c r="P47" s="8"/>
    </row>
    <row r="48" spans="3:16" ht="12.75">
      <c r="C48" t="s">
        <v>16</v>
      </c>
      <c r="G48" s="52">
        <v>5</v>
      </c>
      <c r="H48" t="s">
        <v>32</v>
      </c>
      <c r="I48" s="45">
        <f>G48</f>
        <v>5</v>
      </c>
      <c r="L48" s="6"/>
      <c r="N48" s="8"/>
      <c r="P48" s="8"/>
    </row>
    <row r="49" spans="3:16" s="10" customFormat="1" ht="12.75">
      <c r="C49" s="10" t="s">
        <v>30</v>
      </c>
      <c r="G49" s="53">
        <v>12</v>
      </c>
      <c r="H49" s="14" t="s">
        <v>32</v>
      </c>
      <c r="I49" s="54">
        <f>G49</f>
        <v>12</v>
      </c>
      <c r="J49" s="14"/>
      <c r="L49" s="22"/>
      <c r="N49" s="13"/>
      <c r="P49" s="9"/>
    </row>
    <row r="50" spans="3:16" ht="12.75">
      <c r="C50" t="s">
        <v>9</v>
      </c>
      <c r="I50" s="45">
        <f>SUM(I41:I49)</f>
        <v>53.86318493150685</v>
      </c>
      <c r="J50" s="2"/>
      <c r="P50" s="8"/>
    </row>
    <row r="51" s="5" customFormat="1" ht="12.75">
      <c r="B51" s="5" t="s">
        <v>97</v>
      </c>
    </row>
    <row r="52" spans="3:16" ht="12.75">
      <c r="C52" t="s">
        <v>94</v>
      </c>
      <c r="E52" s="8"/>
      <c r="F52" s="3"/>
      <c r="G52" s="55">
        <v>0.65</v>
      </c>
      <c r="H52" s="21"/>
      <c r="I52" s="73"/>
      <c r="L52" s="8"/>
      <c r="N52" s="18"/>
      <c r="O52" s="21"/>
      <c r="P52" s="2"/>
    </row>
    <row r="53" spans="3:16" ht="12.75">
      <c r="C53" t="s">
        <v>95</v>
      </c>
      <c r="G53" s="46">
        <f>P12</f>
        <v>40</v>
      </c>
      <c r="H53" t="s">
        <v>98</v>
      </c>
      <c r="I53" s="56">
        <f>G52*G53</f>
        <v>26</v>
      </c>
      <c r="J53" s="2"/>
      <c r="P53" s="12"/>
    </row>
    <row r="54" spans="9:16" ht="12.75">
      <c r="I54" s="8"/>
      <c r="J54" s="2"/>
      <c r="P54" s="8"/>
    </row>
    <row r="55" spans="2:8" s="5" customFormat="1" ht="12.75">
      <c r="B55" s="5" t="s">
        <v>14</v>
      </c>
      <c r="H55" s="5" t="s">
        <v>40</v>
      </c>
    </row>
    <row r="56" spans="3:16" ht="12.75">
      <c r="C56" t="s">
        <v>28</v>
      </c>
      <c r="I56" s="45">
        <f>I12</f>
        <v>236.25000000000003</v>
      </c>
      <c r="J56" s="2"/>
      <c r="P56" s="8"/>
    </row>
    <row r="57" spans="3:16" s="10" customFormat="1" ht="12.75">
      <c r="C57" s="10" t="s">
        <v>29</v>
      </c>
      <c r="I57" s="54">
        <f>I18+I37+I50</f>
        <v>220.86318493150685</v>
      </c>
      <c r="J57" s="14"/>
      <c r="P57" s="9"/>
    </row>
    <row r="58" spans="3:16" s="5" customFormat="1" ht="12.75">
      <c r="C58" s="5" t="s">
        <v>68</v>
      </c>
      <c r="H58" s="5" t="s">
        <v>32</v>
      </c>
      <c r="I58" s="56">
        <f>I56-I57</f>
        <v>15.386815068493178</v>
      </c>
      <c r="J58" s="24"/>
      <c r="P58" s="12"/>
    </row>
    <row r="60" spans="3:16" s="10" customFormat="1" ht="12.75">
      <c r="C60" s="10" t="s">
        <v>44</v>
      </c>
      <c r="I60" s="54">
        <f>I53</f>
        <v>26</v>
      </c>
      <c r="J60" s="14"/>
      <c r="P60" s="9"/>
    </row>
    <row r="61" spans="3:16" s="5" customFormat="1" ht="12.75">
      <c r="C61" s="5" t="s">
        <v>38</v>
      </c>
      <c r="H61" s="5" t="s">
        <v>32</v>
      </c>
      <c r="I61" s="56">
        <f>I58-I60</f>
        <v>-10.613184931506822</v>
      </c>
      <c r="J61" s="24"/>
      <c r="P61" s="12"/>
    </row>
    <row r="62" spans="9:16" ht="12.75">
      <c r="I62" s="12"/>
      <c r="J62" s="2"/>
      <c r="P62" s="12"/>
    </row>
    <row r="63" spans="3:16" ht="12.75">
      <c r="C63" t="s">
        <v>80</v>
      </c>
      <c r="I63" s="58">
        <f>(I57+I60)/(E11/100)</f>
        <v>141.0646771037182</v>
      </c>
      <c r="P63" s="17"/>
    </row>
    <row r="64" spans="3:16" ht="12.75">
      <c r="C64" t="s">
        <v>60</v>
      </c>
      <c r="I64" s="59">
        <f>(I57+I60-I49)/(E11/100)</f>
        <v>134.20753424657534</v>
      </c>
      <c r="P64" s="19"/>
    </row>
    <row r="65" spans="2:3" ht="12.75">
      <c r="B65" t="s">
        <v>10</v>
      </c>
      <c r="C65" t="s">
        <v>59</v>
      </c>
    </row>
    <row r="67" spans="2:9" ht="12.75">
      <c r="B67" s="5"/>
      <c r="C67" t="s">
        <v>81</v>
      </c>
      <c r="I67" s="59">
        <f>(I12-I37-I50-I53-I17)/600*100</f>
        <v>17.231135844748863</v>
      </c>
    </row>
    <row r="68" spans="7:9" ht="12.75">
      <c r="G68" s="17"/>
      <c r="H68" s="21"/>
      <c r="I68" s="17"/>
    </row>
    <row r="69" ht="12.75">
      <c r="C69" t="s">
        <v>92</v>
      </c>
    </row>
    <row r="70" ht="12.75">
      <c r="A70" s="10" t="s">
        <v>75</v>
      </c>
    </row>
  </sheetData>
  <printOptions headings="1"/>
  <pageMargins left="0.5" right="0.5" top="0.75" bottom="0.5" header="0.5" footer="0.5"/>
  <pageSetup horizontalDpi="300" verticalDpi="300" orientation="landscape"/>
  <headerFooter alignWithMargins="0">
    <oddHeader>&amp;CBCM 35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8.8515625" style="0" customWidth="1"/>
    <col min="4" max="4" width="10.7109375" style="0" customWidth="1"/>
    <col min="5" max="6" width="5.7109375" style="0" customWidth="1"/>
    <col min="7" max="7" width="8.7109375" style="0" customWidth="1"/>
    <col min="8" max="8" width="6.00390625" style="0" customWidth="1"/>
    <col min="9" max="9" width="10.7109375" style="0" customWidth="1"/>
    <col min="10" max="10" width="1.7109375" style="0" customWidth="1"/>
    <col min="11" max="11" width="4.7109375" style="0" customWidth="1"/>
    <col min="12" max="12" width="6.7109375" style="0" customWidth="1"/>
    <col min="13" max="13" width="5.7109375" style="0" customWidth="1"/>
    <col min="14" max="14" width="8.7109375" style="0" customWidth="1"/>
    <col min="15" max="15" width="6.00390625" style="0" customWidth="1"/>
    <col min="16" max="16" width="10.7109375" style="0" customWidth="1"/>
    <col min="17" max="16384" width="8.8515625" style="0" customWidth="1"/>
  </cols>
  <sheetData>
    <row r="1" ht="12.75">
      <c r="N1" t="s">
        <v>43</v>
      </c>
    </row>
    <row r="2" s="15" customFormat="1" ht="15.75">
      <c r="A2" s="15" t="s">
        <v>66</v>
      </c>
    </row>
    <row r="3" s="10" customFormat="1" ht="12.75"/>
    <row r="4" s="5" customFormat="1" ht="12.75">
      <c r="D4" s="5" t="s">
        <v>90</v>
      </c>
    </row>
    <row r="5" s="10" customFormat="1" ht="12.75">
      <c r="B5" s="5" t="s">
        <v>108</v>
      </c>
    </row>
    <row r="6" s="10" customFormat="1" ht="12.75">
      <c r="B6"/>
    </row>
    <row r="7" spans="16:17" s="10" customFormat="1" ht="12.75">
      <c r="P7" s="37"/>
      <c r="Q7" s="10" t="s">
        <v>85</v>
      </c>
    </row>
    <row r="8" spans="16:17" s="5" customFormat="1" ht="12.75">
      <c r="P8" s="38"/>
      <c r="Q8" s="10" t="s">
        <v>86</v>
      </c>
    </row>
    <row r="9" s="5" customFormat="1" ht="12.75">
      <c r="B9" s="5" t="s">
        <v>67</v>
      </c>
    </row>
    <row r="10" spans="2:17" s="1" customFormat="1" ht="12.75">
      <c r="B10" s="20" t="s">
        <v>0</v>
      </c>
      <c r="E10" s="1" t="s">
        <v>45</v>
      </c>
      <c r="F10" s="1" t="s">
        <v>26</v>
      </c>
      <c r="G10" s="1" t="s">
        <v>46</v>
      </c>
      <c r="H10" s="1" t="s">
        <v>47</v>
      </c>
      <c r="I10" s="1" t="s">
        <v>48</v>
      </c>
      <c r="L10" s="10" t="s">
        <v>69</v>
      </c>
      <c r="M10" s="25"/>
      <c r="N10" s="25"/>
      <c r="O10" s="25"/>
      <c r="P10" s="35">
        <v>2.75</v>
      </c>
      <c r="Q10" s="10" t="s">
        <v>82</v>
      </c>
    </row>
    <row r="11" spans="3:17" ht="12.75">
      <c r="C11" t="s">
        <v>17</v>
      </c>
      <c r="E11" s="39">
        <v>300</v>
      </c>
      <c r="F11" t="s">
        <v>25</v>
      </c>
      <c r="G11" s="52">
        <v>90</v>
      </c>
      <c r="H11" s="2" t="s">
        <v>31</v>
      </c>
      <c r="I11" s="54">
        <f>E11*(G11/100)</f>
        <v>270</v>
      </c>
      <c r="J11" s="2"/>
      <c r="L11" s="5"/>
      <c r="M11" s="26"/>
      <c r="N11" s="26"/>
      <c r="O11" s="26"/>
      <c r="P11" s="27"/>
      <c r="Q11" s="5"/>
    </row>
    <row r="12" spans="3:16" ht="12.75">
      <c r="C12" t="s">
        <v>13</v>
      </c>
      <c r="I12" s="45">
        <f>SUM(I11:I11)</f>
        <v>270</v>
      </c>
      <c r="J12" s="2"/>
      <c r="L12" t="s">
        <v>103</v>
      </c>
      <c r="M12" s="28"/>
      <c r="N12" s="29"/>
      <c r="O12" s="28"/>
      <c r="P12" s="50">
        <f>P14/P10</f>
        <v>45.45454545454545</v>
      </c>
    </row>
    <row r="13" spans="9:16" ht="12.75">
      <c r="I13" s="2"/>
      <c r="M13" s="28"/>
      <c r="N13" s="28"/>
      <c r="O13" s="28"/>
      <c r="P13" s="30"/>
    </row>
    <row r="14" spans="2:17" s="1" customFormat="1" ht="12.75">
      <c r="B14" s="20" t="s">
        <v>1</v>
      </c>
      <c r="E14" s="1" t="s">
        <v>51</v>
      </c>
      <c r="F14" s="1" t="s">
        <v>49</v>
      </c>
      <c r="G14" s="1" t="s">
        <v>50</v>
      </c>
      <c r="H14" s="1" t="s">
        <v>52</v>
      </c>
      <c r="I14" s="1" t="s">
        <v>48</v>
      </c>
      <c r="L14" t="s">
        <v>70</v>
      </c>
      <c r="M14" s="28"/>
      <c r="N14" s="28"/>
      <c r="O14" s="28"/>
      <c r="P14" s="57">
        <f>E11-E16</f>
        <v>125</v>
      </c>
      <c r="Q14"/>
    </row>
    <row r="15" spans="1:17" ht="12.75">
      <c r="A15" t="s">
        <v>10</v>
      </c>
      <c r="B15" s="1" t="s">
        <v>53</v>
      </c>
      <c r="C15" s="1"/>
      <c r="K15" s="1"/>
      <c r="L15" s="1"/>
      <c r="M15" s="25"/>
      <c r="N15" s="25"/>
      <c r="O15" s="25"/>
      <c r="P15" s="27"/>
      <c r="Q15" s="1"/>
    </row>
    <row r="16" spans="3:17" ht="12.75">
      <c r="C16" t="s">
        <v>11</v>
      </c>
      <c r="E16" s="39">
        <v>175</v>
      </c>
      <c r="F16" t="s">
        <v>25</v>
      </c>
      <c r="G16" s="52">
        <v>135</v>
      </c>
      <c r="H16" s="2" t="s">
        <v>31</v>
      </c>
      <c r="I16" s="45">
        <f>E16*(G16/100)</f>
        <v>236.25000000000003</v>
      </c>
      <c r="J16" s="2"/>
      <c r="L16" t="s">
        <v>71</v>
      </c>
      <c r="M16" s="28"/>
      <c r="N16" s="28"/>
      <c r="O16" s="28"/>
      <c r="P16" s="36">
        <v>3.5</v>
      </c>
      <c r="Q16" t="s">
        <v>83</v>
      </c>
    </row>
    <row r="17" spans="3:17" s="10" customFormat="1" ht="12.75">
      <c r="C17" s="10" t="s">
        <v>18</v>
      </c>
      <c r="G17" s="53">
        <v>2</v>
      </c>
      <c r="H17" s="10" t="s">
        <v>32</v>
      </c>
      <c r="I17" s="54">
        <f>G17</f>
        <v>2</v>
      </c>
      <c r="J17" s="14"/>
      <c r="L17"/>
      <c r="M17" s="28"/>
      <c r="N17" s="29"/>
      <c r="O17" s="28"/>
      <c r="P17" s="30"/>
      <c r="Q17"/>
    </row>
    <row r="18" spans="3:17" ht="12.75">
      <c r="C18" t="s">
        <v>19</v>
      </c>
      <c r="I18" s="45">
        <f>SUM(I16:I17)</f>
        <v>238.25000000000003</v>
      </c>
      <c r="J18" s="2"/>
      <c r="L18" t="s">
        <v>72</v>
      </c>
      <c r="M18" s="25"/>
      <c r="N18" s="31"/>
      <c r="O18" s="25"/>
      <c r="P18" s="50">
        <f>P16*P14</f>
        <v>437.5</v>
      </c>
      <c r="Q18" s="1"/>
    </row>
    <row r="19" spans="9:17" ht="12.75">
      <c r="I19" s="8"/>
      <c r="J19" s="2"/>
      <c r="M19" s="25"/>
      <c r="N19" s="31"/>
      <c r="O19" s="25"/>
      <c r="P19" s="34"/>
      <c r="Q19" s="1"/>
    </row>
    <row r="20" spans="9:17" ht="12.75">
      <c r="I20" s="8"/>
      <c r="J20" s="2"/>
      <c r="L20" t="s">
        <v>104</v>
      </c>
      <c r="M20" s="25"/>
      <c r="N20" s="31"/>
      <c r="O20" s="81" t="s">
        <v>106</v>
      </c>
      <c r="P20" s="34"/>
      <c r="Q20" s="1"/>
    </row>
    <row r="21" spans="9:17" ht="12.75">
      <c r="I21" s="8"/>
      <c r="J21" s="2"/>
      <c r="L21" t="s">
        <v>105</v>
      </c>
      <c r="M21" s="25"/>
      <c r="N21" s="31"/>
      <c r="O21" s="81" t="s">
        <v>107</v>
      </c>
      <c r="P21" s="34"/>
      <c r="Q21" s="1"/>
    </row>
    <row r="22" spans="2:16" ht="12.75">
      <c r="B22" s="1" t="s">
        <v>54</v>
      </c>
      <c r="K22" s="1"/>
      <c r="L22" t="s">
        <v>74</v>
      </c>
      <c r="M22" s="28"/>
      <c r="N22" s="32" t="s">
        <v>73</v>
      </c>
      <c r="O22" s="32" t="s">
        <v>74</v>
      </c>
      <c r="P22" s="27" t="s">
        <v>78</v>
      </c>
    </row>
    <row r="23" spans="3:16" ht="12.75">
      <c r="C23" t="s">
        <v>20</v>
      </c>
      <c r="E23" s="39">
        <v>0</v>
      </c>
      <c r="F23" t="s">
        <v>25</v>
      </c>
      <c r="G23" s="40">
        <v>60</v>
      </c>
      <c r="H23" t="s">
        <v>31</v>
      </c>
      <c r="I23" s="42">
        <f>E23*(G23/100)</f>
        <v>0</v>
      </c>
      <c r="J23" s="2"/>
      <c r="M23" s="28"/>
      <c r="N23" s="33"/>
      <c r="O23" s="32"/>
      <c r="P23" s="30"/>
    </row>
    <row r="24" spans="3:16" ht="12.75">
      <c r="C24" t="s">
        <v>21</v>
      </c>
      <c r="E24" s="39">
        <v>0</v>
      </c>
      <c r="F24" t="s">
        <v>25</v>
      </c>
      <c r="G24" s="40">
        <v>28</v>
      </c>
      <c r="H24" t="s">
        <v>31</v>
      </c>
      <c r="I24" s="42">
        <f>E24*(G24/100)</f>
        <v>0</v>
      </c>
      <c r="J24" s="2"/>
      <c r="M24" s="28"/>
      <c r="N24" s="33"/>
      <c r="O24" s="32"/>
      <c r="P24" s="30"/>
    </row>
    <row r="25" spans="3:16" ht="12.75">
      <c r="C25" t="s">
        <v>36</v>
      </c>
      <c r="E25" s="46">
        <f>P25</f>
        <v>432.41279069767444</v>
      </c>
      <c r="F25" t="s">
        <v>25</v>
      </c>
      <c r="G25" s="40">
        <v>4</v>
      </c>
      <c r="H25" t="s">
        <v>35</v>
      </c>
      <c r="I25" s="42">
        <f>E25*(G25/56)</f>
        <v>30.886627906976745</v>
      </c>
      <c r="J25" s="2"/>
      <c r="L25" s="47">
        <v>0.85</v>
      </c>
      <c r="M25" s="28"/>
      <c r="N25" s="48">
        <f aca="true" t="shared" si="0" ref="N25:N30">L25*P$18</f>
        <v>371.875</v>
      </c>
      <c r="O25" s="49">
        <v>86</v>
      </c>
      <c r="P25" s="50">
        <f aca="true" t="shared" si="1" ref="P25:P30">N25/(O25/100)</f>
        <v>432.41279069767444</v>
      </c>
    </row>
    <row r="26" spans="3:16" ht="12.75">
      <c r="C26" t="s">
        <v>39</v>
      </c>
      <c r="E26" s="46">
        <f>P26</f>
        <v>0</v>
      </c>
      <c r="F26" t="s">
        <v>25</v>
      </c>
      <c r="G26" s="40">
        <v>1</v>
      </c>
      <c r="H26" t="s">
        <v>35</v>
      </c>
      <c r="I26" s="42">
        <f>E26*(G26/32)</f>
        <v>0</v>
      </c>
      <c r="J26" s="2"/>
      <c r="L26" s="47">
        <v>0</v>
      </c>
      <c r="M26" s="28"/>
      <c r="N26" s="48">
        <f t="shared" si="0"/>
        <v>0</v>
      </c>
      <c r="O26" s="49">
        <v>86</v>
      </c>
      <c r="P26" s="50">
        <f t="shared" si="1"/>
        <v>0</v>
      </c>
    </row>
    <row r="27" spans="3:16" ht="12.75">
      <c r="C27" t="s">
        <v>63</v>
      </c>
      <c r="E27" s="46">
        <f>P27</f>
        <v>47.55434782608695</v>
      </c>
      <c r="F27" t="s">
        <v>25</v>
      </c>
      <c r="G27" s="40">
        <v>475</v>
      </c>
      <c r="H27" t="s">
        <v>33</v>
      </c>
      <c r="I27" s="42">
        <f>E27*G27/2000</f>
        <v>11.294157608695652</v>
      </c>
      <c r="L27" s="47">
        <v>0.1</v>
      </c>
      <c r="M27" s="28"/>
      <c r="N27" s="48">
        <f t="shared" si="0"/>
        <v>43.75</v>
      </c>
      <c r="O27" s="49">
        <v>92</v>
      </c>
      <c r="P27" s="50">
        <f t="shared" si="1"/>
        <v>47.55434782608695</v>
      </c>
    </row>
    <row r="28" spans="3:16" ht="12.75">
      <c r="C28" t="s">
        <v>64</v>
      </c>
      <c r="E28" s="46">
        <f aca="true" t="shared" si="2" ref="E28:E36">P28</f>
        <v>0</v>
      </c>
      <c r="F28" t="s">
        <v>25</v>
      </c>
      <c r="G28" s="40">
        <v>0</v>
      </c>
      <c r="H28" t="s">
        <v>33</v>
      </c>
      <c r="I28" s="42">
        <f>E28*G28/2000</f>
        <v>0</v>
      </c>
      <c r="L28" s="47">
        <v>0</v>
      </c>
      <c r="M28" s="28"/>
      <c r="N28" s="48">
        <f t="shared" si="0"/>
        <v>0</v>
      </c>
      <c r="O28" s="49">
        <v>92</v>
      </c>
      <c r="P28" s="50">
        <f t="shared" si="1"/>
        <v>0</v>
      </c>
    </row>
    <row r="29" spans="3:16" ht="12.75">
      <c r="C29" t="s">
        <v>61</v>
      </c>
      <c r="E29" s="46">
        <f t="shared" si="2"/>
        <v>57.56578947368421</v>
      </c>
      <c r="F29" t="s">
        <v>25</v>
      </c>
      <c r="G29" s="40">
        <v>80</v>
      </c>
      <c r="H29" t="s">
        <v>33</v>
      </c>
      <c r="I29" s="42">
        <f>E29*(G29/2000)</f>
        <v>2.3026315789473686</v>
      </c>
      <c r="J29" s="2"/>
      <c r="L29" s="47">
        <v>0.05</v>
      </c>
      <c r="M29" s="28"/>
      <c r="N29" s="48">
        <f t="shared" si="0"/>
        <v>21.875</v>
      </c>
      <c r="O29" s="49">
        <v>38</v>
      </c>
      <c r="P29" s="50">
        <f t="shared" si="1"/>
        <v>57.56578947368421</v>
      </c>
    </row>
    <row r="30" spans="3:16" ht="12.75">
      <c r="C30" t="s">
        <v>62</v>
      </c>
      <c r="E30" s="46">
        <f t="shared" si="2"/>
        <v>0</v>
      </c>
      <c r="F30" t="s">
        <v>25</v>
      </c>
      <c r="G30" s="40">
        <v>35</v>
      </c>
      <c r="H30" t="s">
        <v>33</v>
      </c>
      <c r="I30" s="42">
        <f>E30*(G30/2000)</f>
        <v>0</v>
      </c>
      <c r="L30" s="47">
        <v>0</v>
      </c>
      <c r="M30" s="28"/>
      <c r="N30" s="48">
        <f t="shared" si="0"/>
        <v>0</v>
      </c>
      <c r="O30" s="49">
        <v>38</v>
      </c>
      <c r="P30" s="50">
        <f t="shared" si="1"/>
        <v>0</v>
      </c>
    </row>
    <row r="31" spans="3:16" ht="12.75">
      <c r="C31" t="s">
        <v>2</v>
      </c>
      <c r="E31" s="60">
        <f t="shared" si="2"/>
        <v>0</v>
      </c>
      <c r="F31" t="s">
        <v>55</v>
      </c>
      <c r="G31" s="40">
        <v>65</v>
      </c>
      <c r="H31" t="s">
        <v>34</v>
      </c>
      <c r="I31" s="42">
        <f>E31*G31</f>
        <v>0</v>
      </c>
      <c r="J31" s="2"/>
      <c r="L31" s="11"/>
      <c r="N31" s="62"/>
      <c r="P31" s="8"/>
    </row>
    <row r="32" spans="3:9" ht="12.75">
      <c r="C32" t="s">
        <v>65</v>
      </c>
      <c r="E32" s="60">
        <f t="shared" si="2"/>
        <v>0</v>
      </c>
      <c r="F32" t="s">
        <v>25</v>
      </c>
      <c r="G32" s="40">
        <v>5</v>
      </c>
      <c r="H32" t="s">
        <v>31</v>
      </c>
      <c r="I32" s="42">
        <f>E32*G32/100</f>
        <v>0</v>
      </c>
    </row>
    <row r="33" spans="3:10" ht="12.75">
      <c r="C33" t="s">
        <v>22</v>
      </c>
      <c r="E33" s="60">
        <f t="shared" si="2"/>
        <v>0</v>
      </c>
      <c r="F33" t="s">
        <v>25</v>
      </c>
      <c r="G33" s="40">
        <v>18</v>
      </c>
      <c r="H33" t="s">
        <v>31</v>
      </c>
      <c r="I33" s="42">
        <f>E33*(G33/100)</f>
        <v>0</v>
      </c>
      <c r="J33" s="2"/>
    </row>
    <row r="34" spans="3:16" s="10" customFormat="1" ht="12.75">
      <c r="C34" s="10" t="s">
        <v>3</v>
      </c>
      <c r="E34" s="60">
        <f t="shared" si="2"/>
        <v>0</v>
      </c>
      <c r="F34" s="10" t="s">
        <v>25</v>
      </c>
      <c r="G34" s="41">
        <v>13</v>
      </c>
      <c r="H34" s="10" t="s">
        <v>31</v>
      </c>
      <c r="I34" s="43">
        <f>E34*(G34/100)</f>
        <v>0</v>
      </c>
      <c r="J34" s="14"/>
      <c r="K34"/>
      <c r="L34" s="11"/>
      <c r="N34" s="23"/>
      <c r="P34" s="13"/>
    </row>
    <row r="35" spans="3:16" s="10" customFormat="1" ht="12.75">
      <c r="C35" s="10" t="s">
        <v>42</v>
      </c>
      <c r="E35" s="60">
        <f t="shared" si="2"/>
        <v>0</v>
      </c>
      <c r="F35" s="10" t="s">
        <v>25</v>
      </c>
      <c r="G35" s="41">
        <v>32</v>
      </c>
      <c r="H35" s="10" t="s">
        <v>31</v>
      </c>
      <c r="I35" s="43">
        <f>E35*(G35/100)</f>
        <v>0</v>
      </c>
      <c r="J35" s="14"/>
      <c r="K35"/>
      <c r="L35" s="11"/>
      <c r="N35" s="23"/>
      <c r="P35" s="13"/>
    </row>
    <row r="36" spans="3:16" s="10" customFormat="1" ht="12.75">
      <c r="C36" s="10" t="s">
        <v>41</v>
      </c>
      <c r="E36" s="60">
        <f t="shared" si="2"/>
        <v>0</v>
      </c>
      <c r="F36" s="10" t="s">
        <v>25</v>
      </c>
      <c r="G36" s="41">
        <v>0.15</v>
      </c>
      <c r="H36" s="10" t="s">
        <v>31</v>
      </c>
      <c r="I36" s="44">
        <f>E36*(G36/100)</f>
        <v>0</v>
      </c>
      <c r="J36" s="14"/>
      <c r="L36" s="11"/>
      <c r="N36" s="23"/>
      <c r="P36" s="9"/>
    </row>
    <row r="37" spans="3:16" ht="12.75">
      <c r="C37" t="s">
        <v>4</v>
      </c>
      <c r="I37" s="45">
        <f>SUM(I23:I36)</f>
        <v>44.48341709461977</v>
      </c>
      <c r="J37" s="2"/>
      <c r="P37" s="8"/>
    </row>
    <row r="38" spans="3:16" ht="12.75">
      <c r="C38" t="s">
        <v>79</v>
      </c>
      <c r="I38" s="45">
        <f>I37/P14</f>
        <v>0.35586733675695814</v>
      </c>
      <c r="J38" s="2"/>
      <c r="P38" s="8"/>
    </row>
    <row r="39" spans="9:16" ht="12.75">
      <c r="I39" s="8"/>
      <c r="J39" s="2"/>
      <c r="P39" s="8"/>
    </row>
    <row r="40" spans="2:11" ht="12.75">
      <c r="B40" s="1" t="s">
        <v>57</v>
      </c>
      <c r="K40" s="1"/>
    </row>
    <row r="41" spans="3:16" ht="12.75">
      <c r="C41" t="s">
        <v>12</v>
      </c>
      <c r="E41" s="39">
        <v>2</v>
      </c>
      <c r="F41" t="s">
        <v>27</v>
      </c>
      <c r="G41" s="6"/>
      <c r="H41" s="2"/>
      <c r="I41" s="45">
        <f>I12*(E41/100)</f>
        <v>5.4</v>
      </c>
      <c r="J41" s="2"/>
      <c r="N41" s="6"/>
      <c r="P41" s="8"/>
    </row>
    <row r="42" spans="3:16" ht="12.75">
      <c r="C42" t="s">
        <v>23</v>
      </c>
      <c r="E42" s="51">
        <f>I18</f>
        <v>238.25000000000003</v>
      </c>
      <c r="F42" t="s">
        <v>56</v>
      </c>
      <c r="G42" s="39">
        <v>10</v>
      </c>
      <c r="H42" s="2" t="s">
        <v>37</v>
      </c>
      <c r="I42" s="45">
        <f>E42*(G42/100)*(P$12/365)</f>
        <v>2.9669987546699876</v>
      </c>
      <c r="J42" s="2"/>
      <c r="K42" t="s">
        <v>88</v>
      </c>
      <c r="P42" s="8"/>
    </row>
    <row r="43" spans="3:16" ht="12.75">
      <c r="C43" t="s">
        <v>24</v>
      </c>
      <c r="E43" s="51">
        <f>0.5*I37</f>
        <v>22.241708547309884</v>
      </c>
      <c r="F43" t="s">
        <v>56</v>
      </c>
      <c r="G43" s="39">
        <v>10</v>
      </c>
      <c r="H43" s="2" t="s">
        <v>37</v>
      </c>
      <c r="I43" s="45">
        <f>(E43)*(G43/100)*(P$12/365)</f>
        <v>0.27698267182204095</v>
      </c>
      <c r="J43" s="2"/>
      <c r="K43" t="s">
        <v>88</v>
      </c>
      <c r="M43" s="7"/>
      <c r="P43" s="8"/>
    </row>
    <row r="44" spans="3:16" ht="12.75">
      <c r="C44" t="s">
        <v>5</v>
      </c>
      <c r="E44" s="39">
        <f>5*P12</f>
        <v>227.27272727272725</v>
      </c>
      <c r="F44" t="s">
        <v>25</v>
      </c>
      <c r="G44" s="52">
        <v>35</v>
      </c>
      <c r="H44" s="2" t="s">
        <v>33</v>
      </c>
      <c r="I44" s="45">
        <f>E44*(G44/2000)</f>
        <v>3.977272727272727</v>
      </c>
      <c r="J44" s="2"/>
      <c r="N44" s="8"/>
      <c r="P44" s="8"/>
    </row>
    <row r="45" spans="3:16" ht="12.75">
      <c r="C45" t="s">
        <v>6</v>
      </c>
      <c r="G45" s="52">
        <v>3</v>
      </c>
      <c r="H45" s="2" t="s">
        <v>32</v>
      </c>
      <c r="I45" s="45">
        <f aca="true" t="shared" si="3" ref="I45:I50">G45</f>
        <v>3</v>
      </c>
      <c r="J45" s="2"/>
      <c r="L45" s="6"/>
      <c r="N45" s="8"/>
      <c r="P45" s="8"/>
    </row>
    <row r="46" spans="3:16" ht="12.75">
      <c r="C46" t="s">
        <v>15</v>
      </c>
      <c r="G46" s="52">
        <v>14</v>
      </c>
      <c r="H46" s="2" t="s">
        <v>32</v>
      </c>
      <c r="I46" s="45">
        <f t="shared" si="3"/>
        <v>14</v>
      </c>
      <c r="J46" s="2"/>
      <c r="L46" s="6"/>
      <c r="N46" s="8"/>
      <c r="P46" s="8"/>
    </row>
    <row r="47" spans="3:16" ht="12.75">
      <c r="C47" t="s">
        <v>7</v>
      </c>
      <c r="G47" s="52">
        <v>3</v>
      </c>
      <c r="H47" s="2" t="s">
        <v>32</v>
      </c>
      <c r="I47" s="45">
        <f t="shared" si="3"/>
        <v>3</v>
      </c>
      <c r="J47" s="2"/>
      <c r="L47" s="6"/>
      <c r="N47" s="8"/>
      <c r="P47" s="8"/>
    </row>
    <row r="48" spans="3:16" ht="12.75">
      <c r="C48" t="s">
        <v>8</v>
      </c>
      <c r="G48" s="52">
        <v>1</v>
      </c>
      <c r="H48" s="2" t="s">
        <v>32</v>
      </c>
      <c r="I48" s="45">
        <f t="shared" si="3"/>
        <v>1</v>
      </c>
      <c r="J48" s="2"/>
      <c r="L48" s="6"/>
      <c r="N48" s="8"/>
      <c r="P48" s="8"/>
    </row>
    <row r="49" spans="3:16" ht="12.75">
      <c r="C49" t="s">
        <v>16</v>
      </c>
      <c r="G49" s="52">
        <v>5</v>
      </c>
      <c r="H49" t="s">
        <v>32</v>
      </c>
      <c r="I49" s="45">
        <f t="shared" si="3"/>
        <v>5</v>
      </c>
      <c r="L49" s="6"/>
      <c r="N49" s="8"/>
      <c r="P49" s="8"/>
    </row>
    <row r="50" spans="3:16" s="10" customFormat="1" ht="12.75">
      <c r="C50" s="10" t="s">
        <v>30</v>
      </c>
      <c r="G50" s="53">
        <v>12</v>
      </c>
      <c r="H50" s="14" t="s">
        <v>32</v>
      </c>
      <c r="I50" s="54">
        <f t="shared" si="3"/>
        <v>12</v>
      </c>
      <c r="J50" s="14"/>
      <c r="L50" s="22"/>
      <c r="N50" s="13"/>
      <c r="P50" s="9"/>
    </row>
    <row r="51" spans="3:16" ht="12.75">
      <c r="C51" t="s">
        <v>9</v>
      </c>
      <c r="I51" s="45">
        <f>SUM(I41:I50)</f>
        <v>50.62125415376475</v>
      </c>
      <c r="J51" s="2"/>
      <c r="P51" s="8"/>
    </row>
    <row r="52" s="5" customFormat="1" ht="12.75">
      <c r="B52" s="5" t="s">
        <v>58</v>
      </c>
    </row>
    <row r="53" spans="3:16" ht="12.75">
      <c r="C53" t="s">
        <v>94</v>
      </c>
      <c r="E53" s="8"/>
      <c r="F53" s="3"/>
      <c r="G53" s="55">
        <v>0.85</v>
      </c>
      <c r="H53" s="21"/>
      <c r="I53" s="73"/>
      <c r="J53" s="74"/>
      <c r="K53" s="74"/>
      <c r="L53" s="8"/>
      <c r="N53" s="18"/>
      <c r="O53" s="21"/>
      <c r="P53" s="2"/>
    </row>
    <row r="54" spans="3:16" ht="12.75">
      <c r="C54" t="s">
        <v>100</v>
      </c>
      <c r="G54" s="46">
        <f>P12</f>
        <v>45.45454545454545</v>
      </c>
      <c r="H54" t="s">
        <v>98</v>
      </c>
      <c r="I54" s="56">
        <f>G53*G54</f>
        <v>38.63636363636363</v>
      </c>
      <c r="J54" s="2"/>
      <c r="P54" s="12"/>
    </row>
    <row r="55" spans="9:16" ht="12.75">
      <c r="I55" s="8"/>
      <c r="J55" s="2"/>
      <c r="P55" s="8"/>
    </row>
    <row r="56" spans="2:8" s="5" customFormat="1" ht="12.75">
      <c r="B56" s="5" t="s">
        <v>14</v>
      </c>
      <c r="H56" s="5" t="s">
        <v>40</v>
      </c>
    </row>
    <row r="57" spans="3:16" ht="12.75">
      <c r="C57" t="s">
        <v>28</v>
      </c>
      <c r="I57" s="45">
        <f>I12</f>
        <v>270</v>
      </c>
      <c r="J57" s="2"/>
      <c r="P57" s="8"/>
    </row>
    <row r="58" spans="3:16" s="10" customFormat="1" ht="12.75">
      <c r="C58" s="10" t="s">
        <v>29</v>
      </c>
      <c r="I58" s="54">
        <f>I18+I37+I51</f>
        <v>333.35467124838453</v>
      </c>
      <c r="J58" s="14"/>
      <c r="P58" s="9"/>
    </row>
    <row r="59" spans="3:16" s="5" customFormat="1" ht="12.75">
      <c r="C59" s="5" t="s">
        <v>68</v>
      </c>
      <c r="H59" s="5" t="s">
        <v>32</v>
      </c>
      <c r="I59" s="56">
        <f>I57-I58</f>
        <v>-63.354671248384534</v>
      </c>
      <c r="J59" s="24"/>
      <c r="P59" s="12"/>
    </row>
    <row r="61" spans="3:16" s="10" customFormat="1" ht="12.75">
      <c r="C61" s="10" t="s">
        <v>44</v>
      </c>
      <c r="I61" s="54">
        <f>I54</f>
        <v>38.63636363636363</v>
      </c>
      <c r="J61" s="14"/>
      <c r="P61" s="9"/>
    </row>
    <row r="62" spans="3:16" s="5" customFormat="1" ht="12.75">
      <c r="C62" s="5" t="s">
        <v>38</v>
      </c>
      <c r="H62" s="5" t="s">
        <v>32</v>
      </c>
      <c r="I62" s="56">
        <f>I59-I61</f>
        <v>-101.99103488474816</v>
      </c>
      <c r="J62" s="24"/>
      <c r="P62" s="12"/>
    </row>
    <row r="63" spans="9:16" ht="12.75">
      <c r="I63" s="12"/>
      <c r="J63" s="2"/>
      <c r="P63" s="12"/>
    </row>
    <row r="64" spans="3:16" ht="12.75">
      <c r="C64" t="s">
        <v>80</v>
      </c>
      <c r="I64" s="58">
        <f>(I58+I61)/(E11/100)</f>
        <v>123.99701162824938</v>
      </c>
      <c r="P64" s="17"/>
    </row>
    <row r="65" spans="3:16" ht="12.75">
      <c r="C65" t="s">
        <v>60</v>
      </c>
      <c r="I65" s="59">
        <f>(I58+I61-I50)/(E11/100)</f>
        <v>119.99701162824938</v>
      </c>
      <c r="P65" s="19"/>
    </row>
    <row r="66" spans="2:3" ht="12.75">
      <c r="B66" t="s">
        <v>10</v>
      </c>
      <c r="C66" t="s">
        <v>59</v>
      </c>
    </row>
    <row r="68" spans="2:9" ht="12.75">
      <c r="B68" s="5"/>
      <c r="C68" t="s">
        <v>81</v>
      </c>
      <c r="I68" s="59">
        <f>(I12-I37-I51-I54-I17)/E16*100</f>
        <v>76.71940863728676</v>
      </c>
    </row>
    <row r="69" spans="7:9" ht="12.75">
      <c r="G69" s="17"/>
      <c r="H69" s="21"/>
      <c r="I69" s="17"/>
    </row>
    <row r="70" ht="12.75">
      <c r="C70" t="s">
        <v>92</v>
      </c>
    </row>
    <row r="71" ht="12.75">
      <c r="A71" s="10" t="s">
        <v>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6">
      <selection activeCell="L20" sqref="L20:P22"/>
    </sheetView>
  </sheetViews>
  <sheetFormatPr defaultColWidth="9.140625" defaultRowHeight="12.75"/>
  <cols>
    <col min="1" max="2" width="2.7109375" style="0" customWidth="1"/>
    <col min="3" max="3" width="8.8515625" style="0" customWidth="1"/>
    <col min="4" max="4" width="10.7109375" style="0" customWidth="1"/>
    <col min="5" max="6" width="5.7109375" style="0" customWidth="1"/>
    <col min="7" max="7" width="8.7109375" style="0" customWidth="1"/>
    <col min="8" max="8" width="6.00390625" style="0" customWidth="1"/>
    <col min="9" max="9" width="10.7109375" style="0" customWidth="1"/>
    <col min="10" max="10" width="1.7109375" style="0" customWidth="1"/>
    <col min="11" max="11" width="4.7109375" style="0" customWidth="1"/>
    <col min="12" max="12" width="6.7109375" style="0" customWidth="1"/>
    <col min="13" max="13" width="5.7109375" style="0" customWidth="1"/>
    <col min="14" max="14" width="8.7109375" style="0" customWidth="1"/>
    <col min="15" max="15" width="6.00390625" style="0" customWidth="1"/>
    <col min="16" max="16" width="10.7109375" style="0" customWidth="1"/>
    <col min="17" max="16384" width="8.8515625" style="0" customWidth="1"/>
  </cols>
  <sheetData>
    <row r="1" ht="12.75">
      <c r="N1" t="s">
        <v>43</v>
      </c>
    </row>
    <row r="2" spans="1:8" s="15" customFormat="1" ht="15.75">
      <c r="A2" s="15" t="s">
        <v>66</v>
      </c>
      <c r="H2" s="15" t="s">
        <v>75</v>
      </c>
    </row>
    <row r="3" s="10" customFormat="1" ht="12.75"/>
    <row r="4" s="5" customFormat="1" ht="12.75">
      <c r="D4" s="5" t="s">
        <v>87</v>
      </c>
    </row>
    <row r="5" s="10" customFormat="1" ht="12.75">
      <c r="B5" s="5" t="s">
        <v>76</v>
      </c>
    </row>
    <row r="6" s="10" customFormat="1" ht="12.75">
      <c r="B6" s="10" t="s">
        <v>77</v>
      </c>
    </row>
    <row r="7" spans="16:17" s="10" customFormat="1" ht="12.75">
      <c r="P7" s="37"/>
      <c r="Q7" s="10" t="s">
        <v>85</v>
      </c>
    </row>
    <row r="8" spans="16:17" s="5" customFormat="1" ht="12.75">
      <c r="P8" s="38"/>
      <c r="Q8" s="10" t="s">
        <v>86</v>
      </c>
    </row>
    <row r="9" s="5" customFormat="1" ht="12.75">
      <c r="B9" s="5" t="s">
        <v>67</v>
      </c>
    </row>
    <row r="10" spans="2:17" s="1" customFormat="1" ht="12.75">
      <c r="B10" s="20" t="s">
        <v>0</v>
      </c>
      <c r="E10" s="1" t="s">
        <v>45</v>
      </c>
      <c r="F10" s="1" t="s">
        <v>26</v>
      </c>
      <c r="G10" s="1" t="s">
        <v>46</v>
      </c>
      <c r="H10" s="1" t="s">
        <v>47</v>
      </c>
      <c r="I10" s="1" t="s">
        <v>48</v>
      </c>
      <c r="L10" s="10" t="s">
        <v>69</v>
      </c>
      <c r="M10" s="25"/>
      <c r="N10" s="25"/>
      <c r="O10" s="25"/>
      <c r="P10" s="35">
        <v>3</v>
      </c>
      <c r="Q10" s="10" t="s">
        <v>82</v>
      </c>
    </row>
    <row r="11" spans="3:17" ht="12.75">
      <c r="C11" t="s">
        <v>17</v>
      </c>
      <c r="E11" s="39">
        <v>1275</v>
      </c>
      <c r="F11" t="s">
        <v>25</v>
      </c>
      <c r="G11" s="52">
        <v>80</v>
      </c>
      <c r="H11" s="2" t="s">
        <v>31</v>
      </c>
      <c r="I11" s="54">
        <f>E11*(G11/100)</f>
        <v>1020</v>
      </c>
      <c r="J11" s="2"/>
      <c r="L11" s="5"/>
      <c r="M11" s="26"/>
      <c r="N11" s="26"/>
      <c r="O11" s="26"/>
      <c r="P11" s="27"/>
      <c r="Q11" s="5"/>
    </row>
    <row r="12" spans="3:16" ht="12.75">
      <c r="C12" t="s">
        <v>13</v>
      </c>
      <c r="I12" s="45">
        <f>SUM(I11:I11)</f>
        <v>1020</v>
      </c>
      <c r="J12" s="2"/>
      <c r="L12" t="s">
        <v>103</v>
      </c>
      <c r="M12" s="28"/>
      <c r="N12" s="29"/>
      <c r="O12" s="28"/>
      <c r="P12" s="50">
        <f>P14/P10</f>
        <v>325</v>
      </c>
    </row>
    <row r="13" spans="9:16" ht="12.75">
      <c r="I13" s="2"/>
      <c r="M13" s="28"/>
      <c r="N13" s="28"/>
      <c r="O13" s="28"/>
      <c r="P13" s="30"/>
    </row>
    <row r="14" spans="2:17" s="1" customFormat="1" ht="12.75">
      <c r="B14" s="20" t="s">
        <v>1</v>
      </c>
      <c r="E14" s="1" t="s">
        <v>51</v>
      </c>
      <c r="F14" s="1" t="s">
        <v>49</v>
      </c>
      <c r="G14" s="1" t="s">
        <v>50</v>
      </c>
      <c r="H14" s="1" t="s">
        <v>52</v>
      </c>
      <c r="I14" s="1" t="s">
        <v>48</v>
      </c>
      <c r="L14" t="s">
        <v>70</v>
      </c>
      <c r="M14" s="28"/>
      <c r="N14" s="28"/>
      <c r="O14" s="28"/>
      <c r="P14" s="57">
        <f>E11-E16</f>
        <v>975</v>
      </c>
      <c r="Q14"/>
    </row>
    <row r="15" spans="1:17" ht="12.75">
      <c r="A15" t="s">
        <v>10</v>
      </c>
      <c r="B15" s="1" t="s">
        <v>53</v>
      </c>
      <c r="C15" s="1"/>
      <c r="K15" s="1"/>
      <c r="L15" s="1"/>
      <c r="M15" s="25"/>
      <c r="N15" s="25"/>
      <c r="O15" s="25"/>
      <c r="P15" s="27"/>
      <c r="Q15" s="1"/>
    </row>
    <row r="16" spans="3:17" ht="12.75">
      <c r="C16" t="s">
        <v>11</v>
      </c>
      <c r="E16" s="39">
        <v>300</v>
      </c>
      <c r="F16" t="s">
        <v>25</v>
      </c>
      <c r="G16" s="52">
        <v>87</v>
      </c>
      <c r="H16" s="2" t="s">
        <v>31</v>
      </c>
      <c r="I16" s="45">
        <f>E16*(G16/100)</f>
        <v>261</v>
      </c>
      <c r="J16" s="2"/>
      <c r="L16" t="s">
        <v>71</v>
      </c>
      <c r="M16" s="28"/>
      <c r="N16" s="28"/>
      <c r="O16" s="28"/>
      <c r="P16" s="36">
        <v>6</v>
      </c>
      <c r="Q16" t="s">
        <v>83</v>
      </c>
    </row>
    <row r="17" spans="3:17" s="10" customFormat="1" ht="12.75">
      <c r="C17" s="10" t="s">
        <v>18</v>
      </c>
      <c r="G17" s="53">
        <v>2</v>
      </c>
      <c r="H17" s="10" t="s">
        <v>32</v>
      </c>
      <c r="I17" s="54">
        <f>G17</f>
        <v>2</v>
      </c>
      <c r="J17" s="14"/>
      <c r="L17"/>
      <c r="M17" s="28"/>
      <c r="N17" s="29"/>
      <c r="O17" s="28"/>
      <c r="P17" s="30"/>
      <c r="Q17"/>
    </row>
    <row r="18" spans="3:17" ht="12.75">
      <c r="C18" t="s">
        <v>19</v>
      </c>
      <c r="I18" s="45">
        <f>SUM(I16:I17)</f>
        <v>263</v>
      </c>
      <c r="J18" s="2"/>
      <c r="L18" t="s">
        <v>72</v>
      </c>
      <c r="M18" s="25"/>
      <c r="N18" s="31"/>
      <c r="O18" s="25"/>
      <c r="P18" s="50">
        <f>P16*P14</f>
        <v>5850</v>
      </c>
      <c r="Q18" s="1"/>
    </row>
    <row r="19" spans="9:17" ht="12.75">
      <c r="I19" s="8"/>
      <c r="J19" s="2"/>
      <c r="M19" s="25"/>
      <c r="N19" s="31"/>
      <c r="O19" s="25"/>
      <c r="P19" s="34"/>
      <c r="Q19" s="1"/>
    </row>
    <row r="20" spans="9:17" ht="12.75">
      <c r="I20" s="8"/>
      <c r="J20" s="2"/>
      <c r="L20" t="s">
        <v>104</v>
      </c>
      <c r="M20" s="25"/>
      <c r="N20" s="31"/>
      <c r="O20" s="81" t="s">
        <v>106</v>
      </c>
      <c r="P20" s="34"/>
      <c r="Q20" s="1"/>
    </row>
    <row r="21" spans="9:17" ht="12.75">
      <c r="I21" s="8"/>
      <c r="J21" s="2"/>
      <c r="L21" t="s">
        <v>105</v>
      </c>
      <c r="M21" s="25"/>
      <c r="N21" s="31"/>
      <c r="O21" s="81" t="s">
        <v>107</v>
      </c>
      <c r="P21" s="34"/>
      <c r="Q21" s="1"/>
    </row>
    <row r="22" spans="2:16" ht="12.75">
      <c r="B22" s="1" t="s">
        <v>54</v>
      </c>
      <c r="K22" s="1"/>
      <c r="L22" t="s">
        <v>74</v>
      </c>
      <c r="M22" s="28"/>
      <c r="N22" s="32" t="s">
        <v>73</v>
      </c>
      <c r="O22" s="32" t="s">
        <v>74</v>
      </c>
      <c r="P22" s="27" t="s">
        <v>78</v>
      </c>
    </row>
    <row r="23" spans="3:16" ht="12.75">
      <c r="C23" t="s">
        <v>20</v>
      </c>
      <c r="E23" s="39">
        <v>0</v>
      </c>
      <c r="F23" t="s">
        <v>25</v>
      </c>
      <c r="G23" s="40">
        <v>60</v>
      </c>
      <c r="H23" t="s">
        <v>31</v>
      </c>
      <c r="I23" s="42">
        <f>E23*(G23/100)</f>
        <v>0</v>
      </c>
      <c r="J23" s="2"/>
      <c r="M23" s="28"/>
      <c r="N23" s="33"/>
      <c r="O23" s="32"/>
      <c r="P23" s="30"/>
    </row>
    <row r="24" spans="3:16" ht="12.75">
      <c r="C24" t="s">
        <v>21</v>
      </c>
      <c r="E24" s="39">
        <v>0</v>
      </c>
      <c r="F24" t="s">
        <v>25</v>
      </c>
      <c r="G24" s="40">
        <v>28</v>
      </c>
      <c r="H24" t="s">
        <v>31</v>
      </c>
      <c r="I24" s="42">
        <f>E24*(G24/100)</f>
        <v>0</v>
      </c>
      <c r="J24" s="2"/>
      <c r="M24" s="28"/>
      <c r="N24" s="33"/>
      <c r="O24" s="32"/>
      <c r="P24" s="30"/>
    </row>
    <row r="25" spans="3:16" ht="12.75">
      <c r="C25" t="s">
        <v>36</v>
      </c>
      <c r="E25" s="46">
        <f>P25</f>
        <v>5101.7441860465115</v>
      </c>
      <c r="F25" t="s">
        <v>25</v>
      </c>
      <c r="G25" s="40">
        <v>4</v>
      </c>
      <c r="H25" t="s">
        <v>35</v>
      </c>
      <c r="I25" s="42">
        <f>E25*(G25/56)</f>
        <v>364.4102990033222</v>
      </c>
      <c r="J25" s="2"/>
      <c r="L25" s="47">
        <v>0.75</v>
      </c>
      <c r="M25" s="28"/>
      <c r="N25" s="48">
        <f aca="true" t="shared" si="0" ref="N25:N30">L25*P$18</f>
        <v>4387.5</v>
      </c>
      <c r="O25" s="49">
        <v>86</v>
      </c>
      <c r="P25" s="50">
        <f aca="true" t="shared" si="1" ref="P25:P30">N25/(O25/100)</f>
        <v>5101.7441860465115</v>
      </c>
    </row>
    <row r="26" spans="3:16" ht="12.75">
      <c r="C26" t="s">
        <v>39</v>
      </c>
      <c r="E26" s="46">
        <f>P26</f>
        <v>0</v>
      </c>
      <c r="F26" t="s">
        <v>25</v>
      </c>
      <c r="G26" s="40">
        <v>1</v>
      </c>
      <c r="H26" t="s">
        <v>35</v>
      </c>
      <c r="I26" s="42">
        <f>E26*(G26/32)</f>
        <v>0</v>
      </c>
      <c r="J26" s="2"/>
      <c r="L26" s="47">
        <v>0</v>
      </c>
      <c r="M26" s="28"/>
      <c r="N26" s="48">
        <f t="shared" si="0"/>
        <v>0</v>
      </c>
      <c r="O26" s="49">
        <v>86</v>
      </c>
      <c r="P26" s="50">
        <f t="shared" si="1"/>
        <v>0</v>
      </c>
    </row>
    <row r="27" spans="3:16" ht="12.75">
      <c r="C27" t="s">
        <v>63</v>
      </c>
      <c r="E27" s="46">
        <f>P27</f>
        <v>635.8695652173913</v>
      </c>
      <c r="F27" t="s">
        <v>25</v>
      </c>
      <c r="G27" s="40">
        <v>475</v>
      </c>
      <c r="H27" t="s">
        <v>33</v>
      </c>
      <c r="I27" s="42">
        <f>E27*G27/2000</f>
        <v>151.01902173913044</v>
      </c>
      <c r="L27" s="47">
        <v>0.1</v>
      </c>
      <c r="M27" s="28"/>
      <c r="N27" s="48">
        <f t="shared" si="0"/>
        <v>585</v>
      </c>
      <c r="O27" s="49">
        <v>92</v>
      </c>
      <c r="P27" s="50">
        <f t="shared" si="1"/>
        <v>635.8695652173913</v>
      </c>
    </row>
    <row r="28" spans="3:16" ht="12.75">
      <c r="C28" t="s">
        <v>64</v>
      </c>
      <c r="E28" s="46">
        <f aca="true" t="shared" si="2" ref="E28:E36">P28</f>
        <v>0</v>
      </c>
      <c r="F28" t="s">
        <v>25</v>
      </c>
      <c r="G28" s="40">
        <v>0</v>
      </c>
      <c r="H28" t="s">
        <v>33</v>
      </c>
      <c r="I28" s="42">
        <f>E28*G28/2000</f>
        <v>0</v>
      </c>
      <c r="L28" s="47">
        <v>0</v>
      </c>
      <c r="M28" s="28"/>
      <c r="N28" s="48">
        <f t="shared" si="0"/>
        <v>0</v>
      </c>
      <c r="O28" s="49">
        <v>92</v>
      </c>
      <c r="P28" s="50">
        <f t="shared" si="1"/>
        <v>0</v>
      </c>
    </row>
    <row r="29" spans="3:16" ht="12.75">
      <c r="C29" t="s">
        <v>61</v>
      </c>
      <c r="E29" s="46">
        <f t="shared" si="2"/>
        <v>0</v>
      </c>
      <c r="F29" t="s">
        <v>25</v>
      </c>
      <c r="G29" s="40">
        <v>80</v>
      </c>
      <c r="H29" t="s">
        <v>33</v>
      </c>
      <c r="I29" s="42">
        <f>E29*(G29/2000)</f>
        <v>0</v>
      </c>
      <c r="J29" s="2"/>
      <c r="L29" s="47">
        <v>0</v>
      </c>
      <c r="M29" s="28"/>
      <c r="N29" s="48">
        <f t="shared" si="0"/>
        <v>0</v>
      </c>
      <c r="O29" s="49">
        <v>38</v>
      </c>
      <c r="P29" s="50">
        <f t="shared" si="1"/>
        <v>0</v>
      </c>
    </row>
    <row r="30" spans="3:16" ht="12.75">
      <c r="C30" t="s">
        <v>62</v>
      </c>
      <c r="E30" s="46">
        <f t="shared" si="2"/>
        <v>2309.2105263157896</v>
      </c>
      <c r="F30" t="s">
        <v>25</v>
      </c>
      <c r="G30" s="40">
        <v>35</v>
      </c>
      <c r="H30" t="s">
        <v>33</v>
      </c>
      <c r="I30" s="42">
        <f>E30*(G30/2000)</f>
        <v>40.41118421052632</v>
      </c>
      <c r="L30" s="47">
        <v>0.15</v>
      </c>
      <c r="M30" s="28"/>
      <c r="N30" s="48">
        <f t="shared" si="0"/>
        <v>877.5</v>
      </c>
      <c r="O30" s="49">
        <v>38</v>
      </c>
      <c r="P30" s="50">
        <f t="shared" si="1"/>
        <v>2309.2105263157896</v>
      </c>
    </row>
    <row r="31" spans="3:16" ht="12.75">
      <c r="C31" t="s">
        <v>2</v>
      </c>
      <c r="E31" s="60">
        <f t="shared" si="2"/>
        <v>0</v>
      </c>
      <c r="F31" t="s">
        <v>55</v>
      </c>
      <c r="G31" s="40">
        <v>65</v>
      </c>
      <c r="H31" t="s">
        <v>34</v>
      </c>
      <c r="I31" s="42">
        <f>E31*G31</f>
        <v>0</v>
      </c>
      <c r="J31" s="2"/>
      <c r="L31" s="11"/>
      <c r="N31" s="19"/>
      <c r="P31" s="8"/>
    </row>
    <row r="32" spans="3:9" ht="12.75">
      <c r="C32" t="s">
        <v>65</v>
      </c>
      <c r="E32" s="60">
        <f t="shared" si="2"/>
        <v>0</v>
      </c>
      <c r="F32" t="s">
        <v>25</v>
      </c>
      <c r="G32" s="40">
        <v>5</v>
      </c>
      <c r="H32" t="s">
        <v>31</v>
      </c>
      <c r="I32" s="42">
        <f>E32*G32/100</f>
        <v>0</v>
      </c>
    </row>
    <row r="33" spans="3:10" ht="12.75">
      <c r="C33" t="s">
        <v>22</v>
      </c>
      <c r="E33" s="60">
        <f t="shared" si="2"/>
        <v>0</v>
      </c>
      <c r="F33" t="s">
        <v>25</v>
      </c>
      <c r="G33" s="40">
        <v>18</v>
      </c>
      <c r="H33" t="s">
        <v>31</v>
      </c>
      <c r="I33" s="42">
        <f>E33*(G33/100)</f>
        <v>0</v>
      </c>
      <c r="J33" s="2"/>
    </row>
    <row r="34" spans="3:16" s="10" customFormat="1" ht="12.75">
      <c r="C34" s="10" t="s">
        <v>3</v>
      </c>
      <c r="E34" s="60">
        <f t="shared" si="2"/>
        <v>0</v>
      </c>
      <c r="F34" s="10" t="s">
        <v>25</v>
      </c>
      <c r="G34" s="41">
        <v>13</v>
      </c>
      <c r="H34" s="10" t="s">
        <v>31</v>
      </c>
      <c r="I34" s="43">
        <f>E34*(G34/100)</f>
        <v>0</v>
      </c>
      <c r="J34" s="14"/>
      <c r="K34"/>
      <c r="L34" s="11"/>
      <c r="N34" s="23"/>
      <c r="P34" s="13"/>
    </row>
    <row r="35" spans="3:16" s="10" customFormat="1" ht="12.75">
      <c r="C35" s="10" t="s">
        <v>42</v>
      </c>
      <c r="E35" s="60">
        <f t="shared" si="2"/>
        <v>0</v>
      </c>
      <c r="F35" s="10" t="s">
        <v>25</v>
      </c>
      <c r="G35" s="41">
        <v>32</v>
      </c>
      <c r="H35" s="10" t="s">
        <v>31</v>
      </c>
      <c r="I35" s="43">
        <f>E35*(G35/100)</f>
        <v>0</v>
      </c>
      <c r="J35" s="14"/>
      <c r="K35"/>
      <c r="L35" s="11"/>
      <c r="N35" s="23"/>
      <c r="P35" s="13"/>
    </row>
    <row r="36" spans="3:16" s="10" customFormat="1" ht="12.75">
      <c r="C36" s="10" t="s">
        <v>41</v>
      </c>
      <c r="E36" s="60">
        <f t="shared" si="2"/>
        <v>0</v>
      </c>
      <c r="F36" s="10" t="s">
        <v>25</v>
      </c>
      <c r="G36" s="41">
        <v>0.15</v>
      </c>
      <c r="H36" s="10" t="s">
        <v>31</v>
      </c>
      <c r="I36" s="44">
        <f>E36*(G36/100)</f>
        <v>0</v>
      </c>
      <c r="J36" s="14"/>
      <c r="L36" s="11"/>
      <c r="N36" s="23"/>
      <c r="P36" s="9"/>
    </row>
    <row r="37" spans="3:16" ht="12.75">
      <c r="C37" t="s">
        <v>4</v>
      </c>
      <c r="I37" s="45">
        <f>SUM(I23:I36)</f>
        <v>555.840504952979</v>
      </c>
      <c r="J37" s="2"/>
      <c r="P37" s="8"/>
    </row>
    <row r="38" spans="3:16" ht="12.75">
      <c r="C38" t="s">
        <v>79</v>
      </c>
      <c r="I38" s="45">
        <f>I37/P14</f>
        <v>0.570092825592799</v>
      </c>
      <c r="J38" s="2"/>
      <c r="P38" s="8"/>
    </row>
    <row r="39" spans="9:16" ht="12.75">
      <c r="I39" s="8"/>
      <c r="J39" s="2"/>
      <c r="P39" s="8"/>
    </row>
    <row r="40" spans="2:11" ht="12.75">
      <c r="B40" s="1" t="s">
        <v>57</v>
      </c>
      <c r="K40" s="1"/>
    </row>
    <row r="41" spans="3:16" ht="12.75">
      <c r="C41" t="s">
        <v>12</v>
      </c>
      <c r="E41" s="39">
        <v>2</v>
      </c>
      <c r="F41" t="s">
        <v>27</v>
      </c>
      <c r="G41" s="6"/>
      <c r="H41" s="2"/>
      <c r="I41" s="45">
        <f>I12*(E41/100)</f>
        <v>20.400000000000002</v>
      </c>
      <c r="J41" s="2"/>
      <c r="N41" s="6"/>
      <c r="P41" s="8"/>
    </row>
    <row r="42" spans="3:16" ht="12.75">
      <c r="C42" t="s">
        <v>23</v>
      </c>
      <c r="E42" s="51">
        <f>I18</f>
        <v>263</v>
      </c>
      <c r="F42" t="s">
        <v>56</v>
      </c>
      <c r="G42" s="39">
        <v>10</v>
      </c>
      <c r="H42" s="2" t="s">
        <v>37</v>
      </c>
      <c r="I42" s="45">
        <f>E42*(G42/100)*(P$12/365)</f>
        <v>23.417808219178085</v>
      </c>
      <c r="J42" s="2"/>
      <c r="K42" t="s">
        <v>88</v>
      </c>
      <c r="P42" s="8"/>
    </row>
    <row r="43" spans="3:16" ht="12.75">
      <c r="C43" t="s">
        <v>24</v>
      </c>
      <c r="E43" s="51">
        <f>0.5*I37</f>
        <v>277.9202524764895</v>
      </c>
      <c r="F43" t="s">
        <v>56</v>
      </c>
      <c r="G43" s="39">
        <v>10</v>
      </c>
      <c r="H43" s="2" t="s">
        <v>37</v>
      </c>
      <c r="I43" s="45">
        <f>(E43)*(G43/100)*(P$12/365)</f>
        <v>24.746323850646327</v>
      </c>
      <c r="J43" s="2"/>
      <c r="K43" t="s">
        <v>88</v>
      </c>
      <c r="M43" s="7"/>
      <c r="P43" s="8"/>
    </row>
    <row r="44" spans="3:16" ht="12.75">
      <c r="C44" t="s">
        <v>5</v>
      </c>
      <c r="E44" s="39">
        <f>5*P12</f>
        <v>1625</v>
      </c>
      <c r="F44" t="s">
        <v>25</v>
      </c>
      <c r="G44" s="52">
        <v>35</v>
      </c>
      <c r="H44" s="2" t="s">
        <v>33</v>
      </c>
      <c r="I44" s="45">
        <f>E44*(G44/2000)</f>
        <v>28.437500000000004</v>
      </c>
      <c r="J44" s="2"/>
      <c r="N44" s="8"/>
      <c r="P44" s="8"/>
    </row>
    <row r="45" spans="3:16" ht="12.75">
      <c r="C45" t="s">
        <v>6</v>
      </c>
      <c r="G45" s="52">
        <v>3</v>
      </c>
      <c r="H45" s="2" t="s">
        <v>32</v>
      </c>
      <c r="I45" s="45">
        <f aca="true" t="shared" si="3" ref="I45:I50">G45</f>
        <v>3</v>
      </c>
      <c r="J45" s="2"/>
      <c r="L45" s="6"/>
      <c r="N45" s="8"/>
      <c r="P45" s="8"/>
    </row>
    <row r="46" spans="3:16" ht="12.75">
      <c r="C46" t="s">
        <v>15</v>
      </c>
      <c r="G46" s="52">
        <v>14</v>
      </c>
      <c r="H46" s="2" t="s">
        <v>32</v>
      </c>
      <c r="I46" s="45">
        <f t="shared" si="3"/>
        <v>14</v>
      </c>
      <c r="J46" s="2"/>
      <c r="L46" s="6"/>
      <c r="N46" s="8"/>
      <c r="P46" s="8"/>
    </row>
    <row r="47" spans="3:16" ht="12.75">
      <c r="C47" t="s">
        <v>7</v>
      </c>
      <c r="G47" s="52">
        <v>3</v>
      </c>
      <c r="H47" s="2" t="s">
        <v>32</v>
      </c>
      <c r="I47" s="45">
        <f t="shared" si="3"/>
        <v>3</v>
      </c>
      <c r="J47" s="2"/>
      <c r="L47" s="6"/>
      <c r="N47" s="8"/>
      <c r="P47" s="8"/>
    </row>
    <row r="48" spans="3:16" ht="12.75">
      <c r="C48" t="s">
        <v>8</v>
      </c>
      <c r="G48" s="52">
        <v>1</v>
      </c>
      <c r="H48" s="2" t="s">
        <v>32</v>
      </c>
      <c r="I48" s="45">
        <f t="shared" si="3"/>
        <v>1</v>
      </c>
      <c r="J48" s="2"/>
      <c r="L48" s="6"/>
      <c r="N48" s="8"/>
      <c r="P48" s="8"/>
    </row>
    <row r="49" spans="3:16" ht="12.75">
      <c r="C49" t="s">
        <v>16</v>
      </c>
      <c r="G49" s="52">
        <v>5</v>
      </c>
      <c r="H49" t="s">
        <v>32</v>
      </c>
      <c r="I49" s="45">
        <f t="shared" si="3"/>
        <v>5</v>
      </c>
      <c r="L49" s="6"/>
      <c r="N49" s="8"/>
      <c r="P49" s="8"/>
    </row>
    <row r="50" spans="3:16" s="10" customFormat="1" ht="12.75">
      <c r="C50" s="10" t="s">
        <v>30</v>
      </c>
      <c r="G50" s="53">
        <v>12</v>
      </c>
      <c r="H50" s="14" t="s">
        <v>32</v>
      </c>
      <c r="I50" s="54">
        <f t="shared" si="3"/>
        <v>12</v>
      </c>
      <c r="J50" s="14"/>
      <c r="L50" s="22"/>
      <c r="N50" s="13"/>
      <c r="P50" s="9"/>
    </row>
    <row r="51" spans="3:16" ht="12.75">
      <c r="C51" t="s">
        <v>9</v>
      </c>
      <c r="I51" s="45">
        <f>SUM(I41:I50)</f>
        <v>135.0016320698244</v>
      </c>
      <c r="J51" s="2"/>
      <c r="P51" s="8"/>
    </row>
    <row r="52" s="5" customFormat="1" ht="12.75">
      <c r="B52" s="5" t="s">
        <v>58</v>
      </c>
    </row>
    <row r="53" spans="3:16" ht="12.75">
      <c r="C53" t="s">
        <v>101</v>
      </c>
      <c r="E53" s="8"/>
      <c r="F53" s="3"/>
      <c r="G53" s="55">
        <v>0.45</v>
      </c>
      <c r="H53" s="78"/>
      <c r="I53" s="79"/>
      <c r="L53" s="8"/>
      <c r="N53" s="18"/>
      <c r="O53" s="21"/>
      <c r="P53" s="2"/>
    </row>
    <row r="54" spans="3:16" ht="12.75">
      <c r="C54" t="s">
        <v>100</v>
      </c>
      <c r="G54" s="46">
        <f>P12</f>
        <v>325</v>
      </c>
      <c r="H54" t="s">
        <v>98</v>
      </c>
      <c r="I54" s="75">
        <f>G54*G53</f>
        <v>146.25</v>
      </c>
      <c r="J54" s="2"/>
      <c r="P54" s="12"/>
    </row>
    <row r="55" spans="9:16" ht="12.75">
      <c r="I55" s="8"/>
      <c r="J55" s="2"/>
      <c r="P55" s="8"/>
    </row>
    <row r="56" spans="2:8" s="5" customFormat="1" ht="12.75">
      <c r="B56" s="5" t="s">
        <v>14</v>
      </c>
      <c r="H56" s="5" t="s">
        <v>40</v>
      </c>
    </row>
    <row r="57" spans="3:16" ht="12.75">
      <c r="C57" t="s">
        <v>28</v>
      </c>
      <c r="I57" s="45">
        <f>I12</f>
        <v>1020</v>
      </c>
      <c r="J57" s="2"/>
      <c r="P57" s="8"/>
    </row>
    <row r="58" spans="3:16" s="10" customFormat="1" ht="12.75">
      <c r="C58" s="10" t="s">
        <v>29</v>
      </c>
      <c r="I58" s="54">
        <f>I18+I37+I51</f>
        <v>953.8421370228034</v>
      </c>
      <c r="J58" s="14"/>
      <c r="P58" s="9"/>
    </row>
    <row r="59" spans="3:16" s="5" customFormat="1" ht="12.75">
      <c r="C59" s="5" t="s">
        <v>68</v>
      </c>
      <c r="H59" s="5" t="s">
        <v>32</v>
      </c>
      <c r="I59" s="56">
        <f>I57-I58</f>
        <v>66.1578629771966</v>
      </c>
      <c r="J59" s="24"/>
      <c r="P59" s="12"/>
    </row>
    <row r="61" spans="3:16" s="10" customFormat="1" ht="12.75">
      <c r="C61" s="10" t="s">
        <v>44</v>
      </c>
      <c r="I61" s="54">
        <f>I54</f>
        <v>146.25</v>
      </c>
      <c r="J61" s="14"/>
      <c r="P61" s="9"/>
    </row>
    <row r="62" spans="3:16" s="5" customFormat="1" ht="12.75">
      <c r="C62" s="5" t="s">
        <v>38</v>
      </c>
      <c r="H62" s="5" t="s">
        <v>32</v>
      </c>
      <c r="I62" s="56">
        <f>I59-I61</f>
        <v>-80.0921370228034</v>
      </c>
      <c r="J62" s="24"/>
      <c r="P62" s="12"/>
    </row>
    <row r="63" spans="9:16" ht="12.75">
      <c r="I63" s="12"/>
      <c r="J63" s="2"/>
      <c r="P63" s="12"/>
    </row>
    <row r="64" spans="3:16" ht="12.75">
      <c r="C64" t="s">
        <v>80</v>
      </c>
      <c r="I64" s="58">
        <f>(I58+I61)/(E11/100)</f>
        <v>86.28173623708263</v>
      </c>
      <c r="P64" s="17"/>
    </row>
    <row r="65" spans="3:16" ht="12.75">
      <c r="C65" t="s">
        <v>60</v>
      </c>
      <c r="I65" s="59">
        <f>(I58+I61-I50)/(E11/100)</f>
        <v>85.34055976649438</v>
      </c>
      <c r="P65" s="19"/>
    </row>
    <row r="66" spans="2:3" ht="12.75">
      <c r="B66" t="s">
        <v>10</v>
      </c>
      <c r="C66" t="s">
        <v>59</v>
      </c>
    </row>
    <row r="68" spans="2:9" ht="12.75">
      <c r="B68" s="5"/>
      <c r="C68" t="s">
        <v>81</v>
      </c>
      <c r="I68" s="59">
        <f>(I12-I37-I51-I54-I17)/E16*100</f>
        <v>60.30262099239887</v>
      </c>
    </row>
    <row r="69" spans="7:9" ht="12.75">
      <c r="G69" s="17"/>
      <c r="H69" s="21"/>
      <c r="I69" s="17"/>
    </row>
    <row r="70" ht="12.75">
      <c r="C70" t="s">
        <v>92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L20" sqref="L20:P22"/>
    </sheetView>
  </sheetViews>
  <sheetFormatPr defaultColWidth="9.140625" defaultRowHeight="12.75"/>
  <cols>
    <col min="1" max="2" width="2.7109375" style="0" customWidth="1"/>
    <col min="3" max="3" width="8.8515625" style="0" customWidth="1"/>
    <col min="4" max="4" width="10.7109375" style="0" customWidth="1"/>
    <col min="5" max="6" width="5.7109375" style="0" customWidth="1"/>
    <col min="7" max="7" width="8.7109375" style="0" customWidth="1"/>
    <col min="8" max="8" width="6.00390625" style="0" customWidth="1"/>
    <col min="9" max="9" width="10.7109375" style="0" customWidth="1"/>
    <col min="10" max="10" width="1.7109375" style="0" customWidth="1"/>
    <col min="11" max="11" width="4.7109375" style="0" customWidth="1"/>
    <col min="12" max="12" width="6.7109375" style="0" customWidth="1"/>
    <col min="13" max="13" width="5.7109375" style="0" customWidth="1"/>
    <col min="14" max="14" width="8.7109375" style="0" customWidth="1"/>
    <col min="15" max="15" width="6.00390625" style="0" customWidth="1"/>
    <col min="16" max="16" width="10.7109375" style="0" customWidth="1"/>
    <col min="17" max="16384" width="8.8515625" style="0" customWidth="1"/>
  </cols>
  <sheetData>
    <row r="1" ht="12.75">
      <c r="N1" t="s">
        <v>43</v>
      </c>
    </row>
    <row r="2" spans="1:8" s="15" customFormat="1" ht="15.75">
      <c r="A2" s="15" t="s">
        <v>66</v>
      </c>
      <c r="H2" s="15" t="s">
        <v>75</v>
      </c>
    </row>
    <row r="3" s="10" customFormat="1" ht="12.75"/>
    <row r="4" s="5" customFormat="1" ht="12.75">
      <c r="D4" s="5" t="s">
        <v>91</v>
      </c>
    </row>
    <row r="5" s="10" customFormat="1" ht="12.75">
      <c r="B5" s="5" t="s">
        <v>76</v>
      </c>
    </row>
    <row r="6" s="10" customFormat="1" ht="12.75">
      <c r="B6" s="10" t="s">
        <v>77</v>
      </c>
    </row>
    <row r="7" spans="16:17" s="10" customFormat="1" ht="12.75">
      <c r="P7" s="37"/>
      <c r="Q7" s="10" t="s">
        <v>85</v>
      </c>
    </row>
    <row r="8" spans="16:17" s="5" customFormat="1" ht="12.75">
      <c r="P8" s="38"/>
      <c r="Q8" s="10" t="s">
        <v>86</v>
      </c>
    </row>
    <row r="9" s="5" customFormat="1" ht="12.75">
      <c r="B9" s="5" t="s">
        <v>67</v>
      </c>
    </row>
    <row r="10" spans="2:17" s="1" customFormat="1" ht="12.75">
      <c r="B10" s="20" t="s">
        <v>0</v>
      </c>
      <c r="E10" s="1" t="s">
        <v>45</v>
      </c>
      <c r="F10" s="1" t="s">
        <v>26</v>
      </c>
      <c r="G10" s="1" t="s">
        <v>46</v>
      </c>
      <c r="H10" s="1" t="s">
        <v>47</v>
      </c>
      <c r="I10" s="1" t="s">
        <v>48</v>
      </c>
      <c r="L10" s="10" t="s">
        <v>69</v>
      </c>
      <c r="M10" s="25"/>
      <c r="N10" s="25"/>
      <c r="O10" s="25"/>
      <c r="P10" s="35">
        <v>3.25</v>
      </c>
      <c r="Q10" s="10" t="s">
        <v>82</v>
      </c>
    </row>
    <row r="11" spans="3:17" ht="12.75">
      <c r="C11" t="s">
        <v>17</v>
      </c>
      <c r="E11" s="39">
        <v>1375</v>
      </c>
      <c r="F11" t="s">
        <v>25</v>
      </c>
      <c r="G11" s="52">
        <v>90</v>
      </c>
      <c r="H11" s="2" t="s">
        <v>31</v>
      </c>
      <c r="I11" s="54">
        <f>E11*(G11/100)</f>
        <v>1237.5</v>
      </c>
      <c r="J11" s="2"/>
      <c r="L11" s="5"/>
      <c r="M11" s="26"/>
      <c r="N11" s="26"/>
      <c r="O11" s="26"/>
      <c r="P11" s="27"/>
      <c r="Q11" s="5"/>
    </row>
    <row r="12" spans="3:16" ht="12.75">
      <c r="C12" t="s">
        <v>13</v>
      </c>
      <c r="I12" s="45">
        <f>SUM(I11:I11)</f>
        <v>1237.5</v>
      </c>
      <c r="J12" s="2"/>
      <c r="L12" t="s">
        <v>103</v>
      </c>
      <c r="M12" s="28"/>
      <c r="N12" s="29"/>
      <c r="O12" s="28"/>
      <c r="P12" s="50">
        <f>P14/P10</f>
        <v>330.7692307692308</v>
      </c>
    </row>
    <row r="13" spans="9:16" ht="12.75">
      <c r="I13" s="2"/>
      <c r="M13" s="28"/>
      <c r="N13" s="28"/>
      <c r="O13" s="28"/>
      <c r="P13" s="30"/>
    </row>
    <row r="14" spans="2:17" s="1" customFormat="1" ht="12.75">
      <c r="B14" s="20" t="s">
        <v>1</v>
      </c>
      <c r="E14" s="1" t="s">
        <v>51</v>
      </c>
      <c r="F14" s="1" t="s">
        <v>49</v>
      </c>
      <c r="G14" s="1" t="s">
        <v>50</v>
      </c>
      <c r="H14" s="1" t="s">
        <v>52</v>
      </c>
      <c r="I14" s="1" t="s">
        <v>48</v>
      </c>
      <c r="L14" t="s">
        <v>70</v>
      </c>
      <c r="M14" s="28"/>
      <c r="N14" s="28"/>
      <c r="O14" s="28"/>
      <c r="P14" s="57">
        <f>E11-E16</f>
        <v>1075</v>
      </c>
      <c r="Q14"/>
    </row>
    <row r="15" spans="1:17" ht="12.75">
      <c r="A15" t="s">
        <v>10</v>
      </c>
      <c r="B15" s="1" t="s">
        <v>53</v>
      </c>
      <c r="C15" s="1"/>
      <c r="K15" s="1"/>
      <c r="L15" s="1"/>
      <c r="M15" s="25"/>
      <c r="N15" s="25"/>
      <c r="O15" s="25"/>
      <c r="P15" s="27"/>
      <c r="Q15" s="1"/>
    </row>
    <row r="16" spans="3:17" ht="12.75">
      <c r="C16" t="s">
        <v>11</v>
      </c>
      <c r="E16" s="39">
        <v>300</v>
      </c>
      <c r="F16" t="s">
        <v>25</v>
      </c>
      <c r="G16" s="52">
        <v>80</v>
      </c>
      <c r="H16" s="2" t="s">
        <v>31</v>
      </c>
      <c r="I16" s="45">
        <f>E16*(G16/100)</f>
        <v>240</v>
      </c>
      <c r="J16" s="2"/>
      <c r="L16" t="s">
        <v>71</v>
      </c>
      <c r="M16" s="28"/>
      <c r="N16" s="28"/>
      <c r="O16" s="28"/>
      <c r="P16" s="36">
        <v>6</v>
      </c>
      <c r="Q16" t="s">
        <v>83</v>
      </c>
    </row>
    <row r="17" spans="3:17" s="10" customFormat="1" ht="12.75">
      <c r="C17" s="10" t="s">
        <v>18</v>
      </c>
      <c r="G17" s="53">
        <v>2</v>
      </c>
      <c r="H17" s="10" t="s">
        <v>32</v>
      </c>
      <c r="I17" s="54">
        <f>G17</f>
        <v>2</v>
      </c>
      <c r="J17" s="14"/>
      <c r="L17"/>
      <c r="M17" s="28"/>
      <c r="N17" s="29"/>
      <c r="O17" s="28"/>
      <c r="P17" s="30"/>
      <c r="Q17"/>
    </row>
    <row r="18" spans="3:17" ht="12.75">
      <c r="C18" t="s">
        <v>19</v>
      </c>
      <c r="I18" s="45">
        <f>SUM(I16:I17)</f>
        <v>242</v>
      </c>
      <c r="J18" s="2"/>
      <c r="L18" t="s">
        <v>72</v>
      </c>
      <c r="M18" s="25"/>
      <c r="N18" s="31"/>
      <c r="O18" s="25"/>
      <c r="P18" s="50">
        <f>P16*P14</f>
        <v>6450</v>
      </c>
      <c r="Q18" s="1"/>
    </row>
    <row r="19" spans="9:17" ht="12.75">
      <c r="I19" s="8"/>
      <c r="J19" s="2"/>
      <c r="M19" s="25"/>
      <c r="N19" s="31"/>
      <c r="O19" s="25"/>
      <c r="P19" s="34"/>
      <c r="Q19" s="1"/>
    </row>
    <row r="20" spans="9:17" ht="12.75">
      <c r="I20" s="8"/>
      <c r="J20" s="2"/>
      <c r="L20" t="s">
        <v>104</v>
      </c>
      <c r="M20" s="25"/>
      <c r="N20" s="31"/>
      <c r="O20" s="81" t="s">
        <v>106</v>
      </c>
      <c r="P20" s="34"/>
      <c r="Q20" s="1"/>
    </row>
    <row r="21" spans="9:17" ht="12.75">
      <c r="I21" s="8"/>
      <c r="J21" s="2"/>
      <c r="L21" t="s">
        <v>105</v>
      </c>
      <c r="M21" s="25"/>
      <c r="N21" s="31"/>
      <c r="O21" s="81" t="s">
        <v>107</v>
      </c>
      <c r="P21" s="34"/>
      <c r="Q21" s="1"/>
    </row>
    <row r="22" spans="2:16" ht="12.75">
      <c r="B22" s="1" t="s">
        <v>54</v>
      </c>
      <c r="K22" s="1"/>
      <c r="L22" t="s">
        <v>74</v>
      </c>
      <c r="M22" s="28"/>
      <c r="N22" s="32" t="s">
        <v>73</v>
      </c>
      <c r="O22" s="32" t="s">
        <v>74</v>
      </c>
      <c r="P22" s="27" t="s">
        <v>78</v>
      </c>
    </row>
    <row r="23" spans="3:16" ht="12.75">
      <c r="C23" t="s">
        <v>20</v>
      </c>
      <c r="E23" s="39">
        <v>0</v>
      </c>
      <c r="F23" t="s">
        <v>25</v>
      </c>
      <c r="G23" s="40">
        <v>60</v>
      </c>
      <c r="H23" t="s">
        <v>31</v>
      </c>
      <c r="I23" s="42">
        <f>E23*(G23/100)</f>
        <v>0</v>
      </c>
      <c r="J23" s="2"/>
      <c r="M23" s="28"/>
      <c r="N23" s="33"/>
      <c r="O23" s="32"/>
      <c r="P23" s="30"/>
    </row>
    <row r="24" spans="3:16" ht="12.75">
      <c r="C24" t="s">
        <v>21</v>
      </c>
      <c r="E24" s="39">
        <v>0</v>
      </c>
      <c r="F24" t="s">
        <v>25</v>
      </c>
      <c r="G24" s="40">
        <v>28</v>
      </c>
      <c r="H24" t="s">
        <v>31</v>
      </c>
      <c r="I24" s="42">
        <f>E24*(G24/100)</f>
        <v>0</v>
      </c>
      <c r="J24" s="2"/>
      <c r="M24" s="28"/>
      <c r="N24" s="33"/>
      <c r="O24" s="32"/>
      <c r="P24" s="30"/>
    </row>
    <row r="25" spans="3:16" ht="12.75">
      <c r="C25" t="s">
        <v>36</v>
      </c>
      <c r="E25" s="46">
        <f>P25</f>
        <v>6750</v>
      </c>
      <c r="F25" t="s">
        <v>25</v>
      </c>
      <c r="G25" s="40">
        <v>5.25</v>
      </c>
      <c r="H25" t="s">
        <v>35</v>
      </c>
      <c r="I25" s="42">
        <f>E25*(G25/56)</f>
        <v>632.8125</v>
      </c>
      <c r="J25" s="2"/>
      <c r="L25" s="47">
        <v>0.9</v>
      </c>
      <c r="M25" s="28"/>
      <c r="N25" s="48">
        <f aca="true" t="shared" si="0" ref="N25:N30">L25*P$18</f>
        <v>5805</v>
      </c>
      <c r="O25" s="49">
        <v>86</v>
      </c>
      <c r="P25" s="50">
        <f aca="true" t="shared" si="1" ref="P25:P30">N25/(O25/100)</f>
        <v>6750</v>
      </c>
    </row>
    <row r="26" spans="3:16" ht="12.75">
      <c r="C26" t="s">
        <v>39</v>
      </c>
      <c r="E26" s="46">
        <f>P26</f>
        <v>0</v>
      </c>
      <c r="F26" t="s">
        <v>25</v>
      </c>
      <c r="G26" s="40">
        <v>1</v>
      </c>
      <c r="H26" t="s">
        <v>35</v>
      </c>
      <c r="I26" s="42">
        <f>E26*(G26/32)</f>
        <v>0</v>
      </c>
      <c r="J26" s="2"/>
      <c r="L26" s="47">
        <v>0</v>
      </c>
      <c r="M26" s="28"/>
      <c r="N26" s="48">
        <f t="shared" si="0"/>
        <v>0</v>
      </c>
      <c r="O26" s="49">
        <v>86</v>
      </c>
      <c r="P26" s="50">
        <f t="shared" si="1"/>
        <v>0</v>
      </c>
    </row>
    <row r="27" spans="3:16" ht="12.75">
      <c r="C27" t="s">
        <v>63</v>
      </c>
      <c r="E27" s="46">
        <f>P27</f>
        <v>701.0869565217391</v>
      </c>
      <c r="F27" t="s">
        <v>25</v>
      </c>
      <c r="G27" s="40">
        <v>475</v>
      </c>
      <c r="H27" t="s">
        <v>33</v>
      </c>
      <c r="I27" s="42">
        <f>E27*G27/2000</f>
        <v>166.50815217391306</v>
      </c>
      <c r="L27" s="47">
        <v>0.1</v>
      </c>
      <c r="M27" s="28"/>
      <c r="N27" s="48">
        <f t="shared" si="0"/>
        <v>645</v>
      </c>
      <c r="O27" s="49">
        <v>92</v>
      </c>
      <c r="P27" s="50">
        <f t="shared" si="1"/>
        <v>701.0869565217391</v>
      </c>
    </row>
    <row r="28" spans="3:16" ht="12.75">
      <c r="C28" t="s">
        <v>64</v>
      </c>
      <c r="E28" s="46">
        <f aca="true" t="shared" si="2" ref="E28:E36">P28</f>
        <v>0</v>
      </c>
      <c r="F28" t="s">
        <v>25</v>
      </c>
      <c r="G28" s="40">
        <v>0</v>
      </c>
      <c r="H28" t="s">
        <v>33</v>
      </c>
      <c r="I28" s="42">
        <f>E28*G28/2000</f>
        <v>0</v>
      </c>
      <c r="L28" s="47">
        <v>0</v>
      </c>
      <c r="M28" s="28"/>
      <c r="N28" s="48">
        <f t="shared" si="0"/>
        <v>0</v>
      </c>
      <c r="O28" s="49">
        <v>92</v>
      </c>
      <c r="P28" s="50">
        <f t="shared" si="1"/>
        <v>0</v>
      </c>
    </row>
    <row r="29" spans="3:16" ht="12.75">
      <c r="C29" t="s">
        <v>61</v>
      </c>
      <c r="E29" s="46">
        <f t="shared" si="2"/>
        <v>0</v>
      </c>
      <c r="F29" t="s">
        <v>25</v>
      </c>
      <c r="G29" s="40">
        <v>80</v>
      </c>
      <c r="H29" t="s">
        <v>33</v>
      </c>
      <c r="I29" s="42">
        <f>E29*(G29/2000)</f>
        <v>0</v>
      </c>
      <c r="J29" s="2"/>
      <c r="L29" s="47">
        <v>0</v>
      </c>
      <c r="M29" s="28"/>
      <c r="N29" s="48">
        <f t="shared" si="0"/>
        <v>0</v>
      </c>
      <c r="O29" s="49">
        <v>38</v>
      </c>
      <c r="P29" s="50">
        <f t="shared" si="1"/>
        <v>0</v>
      </c>
    </row>
    <row r="30" spans="3:16" ht="12.75">
      <c r="C30" t="s">
        <v>62</v>
      </c>
      <c r="E30" s="46">
        <f t="shared" si="2"/>
        <v>0</v>
      </c>
      <c r="F30" t="s">
        <v>25</v>
      </c>
      <c r="G30" s="40">
        <v>35</v>
      </c>
      <c r="H30" t="s">
        <v>33</v>
      </c>
      <c r="I30" s="42">
        <f>E30*(G30/2000)</f>
        <v>0</v>
      </c>
      <c r="L30" s="47">
        <v>0</v>
      </c>
      <c r="M30" s="28"/>
      <c r="N30" s="48">
        <f t="shared" si="0"/>
        <v>0</v>
      </c>
      <c r="O30" s="49">
        <v>38</v>
      </c>
      <c r="P30" s="50">
        <f t="shared" si="1"/>
        <v>0</v>
      </c>
    </row>
    <row r="31" spans="3:16" ht="12.75">
      <c r="C31" t="s">
        <v>2</v>
      </c>
      <c r="E31" s="60">
        <f t="shared" si="2"/>
        <v>0</v>
      </c>
      <c r="F31" t="s">
        <v>55</v>
      </c>
      <c r="G31" s="40">
        <v>65</v>
      </c>
      <c r="H31" t="s">
        <v>34</v>
      </c>
      <c r="I31" s="42">
        <f>E31*G31</f>
        <v>0</v>
      </c>
      <c r="J31" s="2"/>
      <c r="L31" s="11"/>
      <c r="N31" s="19"/>
      <c r="P31" s="8"/>
    </row>
    <row r="32" spans="3:9" ht="12.75">
      <c r="C32" t="s">
        <v>65</v>
      </c>
      <c r="E32" s="60">
        <f t="shared" si="2"/>
        <v>0</v>
      </c>
      <c r="F32" t="s">
        <v>25</v>
      </c>
      <c r="G32" s="40">
        <v>5</v>
      </c>
      <c r="H32" t="s">
        <v>31</v>
      </c>
      <c r="I32" s="42">
        <f>E32*G32/100</f>
        <v>0</v>
      </c>
    </row>
    <row r="33" spans="3:10" ht="12.75">
      <c r="C33" t="s">
        <v>22</v>
      </c>
      <c r="E33" s="60">
        <f t="shared" si="2"/>
        <v>0</v>
      </c>
      <c r="F33" t="s">
        <v>25</v>
      </c>
      <c r="G33" s="40">
        <v>18</v>
      </c>
      <c r="H33" t="s">
        <v>31</v>
      </c>
      <c r="I33" s="42">
        <f>E33*(G33/100)</f>
        <v>0</v>
      </c>
      <c r="J33" s="2"/>
    </row>
    <row r="34" spans="3:16" s="10" customFormat="1" ht="12.75">
      <c r="C34" s="10" t="s">
        <v>3</v>
      </c>
      <c r="E34" s="60">
        <f t="shared" si="2"/>
        <v>0</v>
      </c>
      <c r="F34" s="10" t="s">
        <v>25</v>
      </c>
      <c r="G34" s="41">
        <v>13</v>
      </c>
      <c r="H34" s="10" t="s">
        <v>31</v>
      </c>
      <c r="I34" s="43">
        <f>E34*(G34/100)</f>
        <v>0</v>
      </c>
      <c r="J34" s="14"/>
      <c r="K34"/>
      <c r="L34" s="11"/>
      <c r="N34" s="23"/>
      <c r="P34" s="13"/>
    </row>
    <row r="35" spans="3:16" s="10" customFormat="1" ht="12.75">
      <c r="C35" s="10" t="s">
        <v>42</v>
      </c>
      <c r="E35" s="60">
        <f t="shared" si="2"/>
        <v>0</v>
      </c>
      <c r="F35" s="10" t="s">
        <v>25</v>
      </c>
      <c r="G35" s="41">
        <v>32</v>
      </c>
      <c r="H35" s="10" t="s">
        <v>31</v>
      </c>
      <c r="I35" s="43">
        <f>E35*(G35/100)</f>
        <v>0</v>
      </c>
      <c r="J35" s="14"/>
      <c r="K35"/>
      <c r="L35" s="11"/>
      <c r="N35" s="23"/>
      <c r="P35" s="13"/>
    </row>
    <row r="36" spans="3:16" s="10" customFormat="1" ht="12.75">
      <c r="C36" s="10" t="s">
        <v>41</v>
      </c>
      <c r="E36" s="60">
        <f t="shared" si="2"/>
        <v>0</v>
      </c>
      <c r="F36" s="10" t="s">
        <v>25</v>
      </c>
      <c r="G36" s="41">
        <v>0.15</v>
      </c>
      <c r="H36" s="10" t="s">
        <v>31</v>
      </c>
      <c r="I36" s="44">
        <f>E36*(G36/100)</f>
        <v>0</v>
      </c>
      <c r="J36" s="14"/>
      <c r="L36" s="11"/>
      <c r="N36" s="23"/>
      <c r="P36" s="9"/>
    </row>
    <row r="37" spans="3:16" ht="12.75">
      <c r="C37" t="s">
        <v>4</v>
      </c>
      <c r="I37" s="45">
        <f>SUM(I23:I36)</f>
        <v>799.320652173913</v>
      </c>
      <c r="J37" s="2"/>
      <c r="P37" s="8"/>
    </row>
    <row r="38" spans="3:16" ht="12.75">
      <c r="C38" t="s">
        <v>79</v>
      </c>
      <c r="I38" s="45">
        <f>I37/P14</f>
        <v>0.7435540950455005</v>
      </c>
      <c r="J38" s="2"/>
      <c r="P38" s="8"/>
    </row>
    <row r="39" spans="9:16" ht="12.75">
      <c r="I39" s="8"/>
      <c r="J39" s="2"/>
      <c r="P39" s="8"/>
    </row>
    <row r="40" spans="2:11" ht="12.75">
      <c r="B40" s="1" t="s">
        <v>57</v>
      </c>
      <c r="K40" s="1"/>
    </row>
    <row r="41" spans="3:16" ht="12.75">
      <c r="C41" t="s">
        <v>12</v>
      </c>
      <c r="E41" s="39">
        <v>2</v>
      </c>
      <c r="F41" t="s">
        <v>27</v>
      </c>
      <c r="G41" s="6"/>
      <c r="H41" s="2"/>
      <c r="I41" s="45">
        <f>I12*(E41/100)</f>
        <v>24.75</v>
      </c>
      <c r="J41" s="2"/>
      <c r="N41" s="6"/>
      <c r="P41" s="8"/>
    </row>
    <row r="42" spans="3:16" ht="12.75">
      <c r="C42" t="s">
        <v>23</v>
      </c>
      <c r="E42" s="64">
        <f>I18</f>
        <v>242</v>
      </c>
      <c r="F42" t="s">
        <v>56</v>
      </c>
      <c r="G42" s="39">
        <v>10</v>
      </c>
      <c r="H42" s="2" t="s">
        <v>37</v>
      </c>
      <c r="I42" s="45">
        <f>E42*(G42/100)*(P$12/365)</f>
        <v>21.930453108535303</v>
      </c>
      <c r="J42" s="2"/>
      <c r="K42" t="s">
        <v>88</v>
      </c>
      <c r="P42" s="8"/>
    </row>
    <row r="43" spans="3:16" ht="12.75">
      <c r="C43" t="s">
        <v>24</v>
      </c>
      <c r="E43" s="63">
        <f>0.5*I37</f>
        <v>399.6603260869565</v>
      </c>
      <c r="F43" t="s">
        <v>56</v>
      </c>
      <c r="G43" s="39">
        <v>10</v>
      </c>
      <c r="H43" s="2" t="s">
        <v>37</v>
      </c>
      <c r="I43" s="45">
        <f>(E43)*(G43/100)*(P$12/365)</f>
        <v>36.21790099418152</v>
      </c>
      <c r="J43" s="2"/>
      <c r="K43" t="s">
        <v>88</v>
      </c>
      <c r="M43" s="7"/>
      <c r="P43" s="8"/>
    </row>
    <row r="44" spans="3:16" ht="12.75">
      <c r="C44" t="s">
        <v>5</v>
      </c>
      <c r="E44" s="39">
        <f>5*P12</f>
        <v>1653.8461538461538</v>
      </c>
      <c r="F44" t="s">
        <v>25</v>
      </c>
      <c r="G44" s="52">
        <v>35</v>
      </c>
      <c r="H44" s="2" t="s">
        <v>33</v>
      </c>
      <c r="I44" s="45">
        <f>E44*(G44/2000)</f>
        <v>28.942307692307693</v>
      </c>
      <c r="J44" s="2"/>
      <c r="N44" s="8"/>
      <c r="P44" s="8"/>
    </row>
    <row r="45" spans="3:16" ht="12.75">
      <c r="C45" t="s">
        <v>6</v>
      </c>
      <c r="G45" s="52">
        <v>3</v>
      </c>
      <c r="H45" s="2" t="s">
        <v>32</v>
      </c>
      <c r="I45" s="45">
        <f aca="true" t="shared" si="3" ref="I45:I50">G45</f>
        <v>3</v>
      </c>
      <c r="J45" s="2"/>
      <c r="L45" s="6"/>
      <c r="N45" s="8"/>
      <c r="P45" s="8"/>
    </row>
    <row r="46" spans="3:16" ht="12.75">
      <c r="C46" t="s">
        <v>15</v>
      </c>
      <c r="G46" s="52">
        <v>14</v>
      </c>
      <c r="H46" s="2" t="s">
        <v>32</v>
      </c>
      <c r="I46" s="45">
        <f t="shared" si="3"/>
        <v>14</v>
      </c>
      <c r="J46" s="2"/>
      <c r="L46" s="6"/>
      <c r="N46" s="8"/>
      <c r="P46" s="8"/>
    </row>
    <row r="47" spans="3:16" ht="12.75">
      <c r="C47" t="s">
        <v>7</v>
      </c>
      <c r="G47" s="52">
        <v>3</v>
      </c>
      <c r="H47" s="2" t="s">
        <v>32</v>
      </c>
      <c r="I47" s="45">
        <f t="shared" si="3"/>
        <v>3</v>
      </c>
      <c r="J47" s="2"/>
      <c r="L47" s="6"/>
      <c r="N47" s="8"/>
      <c r="P47" s="8"/>
    </row>
    <row r="48" spans="3:16" ht="12.75">
      <c r="C48" t="s">
        <v>8</v>
      </c>
      <c r="G48" s="52">
        <v>1</v>
      </c>
      <c r="H48" s="2" t="s">
        <v>32</v>
      </c>
      <c r="I48" s="45">
        <f t="shared" si="3"/>
        <v>1</v>
      </c>
      <c r="J48" s="2"/>
      <c r="L48" s="6"/>
      <c r="N48" s="8"/>
      <c r="P48" s="8"/>
    </row>
    <row r="49" spans="3:16" ht="12.75">
      <c r="C49" t="s">
        <v>16</v>
      </c>
      <c r="G49" s="52">
        <v>5</v>
      </c>
      <c r="H49" t="s">
        <v>32</v>
      </c>
      <c r="I49" s="45">
        <f t="shared" si="3"/>
        <v>5</v>
      </c>
      <c r="L49" s="6"/>
      <c r="N49" s="8"/>
      <c r="P49" s="8"/>
    </row>
    <row r="50" spans="3:16" s="10" customFormat="1" ht="12.75">
      <c r="C50" s="10" t="s">
        <v>30</v>
      </c>
      <c r="G50" s="53">
        <v>12</v>
      </c>
      <c r="H50" s="14" t="s">
        <v>32</v>
      </c>
      <c r="I50" s="54">
        <f t="shared" si="3"/>
        <v>12</v>
      </c>
      <c r="J50" s="14"/>
      <c r="L50" s="22"/>
      <c r="N50" s="13"/>
      <c r="P50" s="9"/>
    </row>
    <row r="51" spans="3:16" ht="12.75">
      <c r="C51" t="s">
        <v>9</v>
      </c>
      <c r="I51" s="45">
        <f>SUM(I41:I50)</f>
        <v>149.84066179502452</v>
      </c>
      <c r="J51" s="2"/>
      <c r="P51" s="8"/>
    </row>
    <row r="52" s="5" customFormat="1" ht="12.75">
      <c r="B52" s="5" t="s">
        <v>58</v>
      </c>
    </row>
    <row r="53" spans="3:16" ht="12.75">
      <c r="C53" t="s">
        <v>101</v>
      </c>
      <c r="E53" s="8"/>
      <c r="F53" s="3"/>
      <c r="G53" s="55">
        <v>0.3</v>
      </c>
      <c r="H53" s="78"/>
      <c r="I53" s="79"/>
      <c r="L53" s="8"/>
      <c r="N53" s="18"/>
      <c r="O53" s="21"/>
      <c r="P53" s="2"/>
    </row>
    <row r="54" spans="3:22" ht="12.75">
      <c r="C54" t="s">
        <v>102</v>
      </c>
      <c r="G54" s="46">
        <f>P12</f>
        <v>330.7692307692308</v>
      </c>
      <c r="H54" t="s">
        <v>98</v>
      </c>
      <c r="I54" s="56">
        <f>G54*G53</f>
        <v>99.23076923076923</v>
      </c>
      <c r="J54" s="2"/>
      <c r="P54" s="12"/>
      <c r="R54" s="2"/>
      <c r="T54" s="2"/>
      <c r="V54" s="2"/>
    </row>
    <row r="55" spans="9:22" ht="12.75">
      <c r="I55" s="8"/>
      <c r="J55" s="2"/>
      <c r="M55" s="10"/>
      <c r="N55" s="10"/>
      <c r="O55" s="10"/>
      <c r="P55" s="13"/>
      <c r="Q55" s="10"/>
      <c r="R55" s="10"/>
      <c r="S55" s="10"/>
      <c r="T55" s="10"/>
      <c r="U55" s="10"/>
      <c r="V55" s="10"/>
    </row>
    <row r="56" spans="2:22" s="5" customFormat="1" ht="12.75">
      <c r="B56" s="5" t="s">
        <v>14</v>
      </c>
      <c r="H56" s="5" t="s">
        <v>40</v>
      </c>
      <c r="M56" s="10"/>
      <c r="N56" s="10"/>
      <c r="O56" s="10"/>
      <c r="P56" s="10"/>
      <c r="Q56" s="10"/>
      <c r="R56" s="80"/>
      <c r="S56" s="10"/>
      <c r="T56" s="10"/>
      <c r="U56" s="10"/>
      <c r="V56" s="14"/>
    </row>
    <row r="57" spans="3:16" ht="12.75">
      <c r="C57" t="s">
        <v>28</v>
      </c>
      <c r="I57" s="45">
        <f>I12</f>
        <v>1237.5</v>
      </c>
      <c r="J57" s="2"/>
      <c r="P57" s="8"/>
    </row>
    <row r="58" spans="3:16" s="10" customFormat="1" ht="12.75">
      <c r="C58" s="10" t="s">
        <v>29</v>
      </c>
      <c r="I58" s="54">
        <f>I18+I37+I51</f>
        <v>1191.1613139689375</v>
      </c>
      <c r="J58" s="14"/>
      <c r="P58" s="9"/>
    </row>
    <row r="59" spans="3:16" s="5" customFormat="1" ht="12.75">
      <c r="C59" s="5" t="s">
        <v>68</v>
      </c>
      <c r="H59" s="5" t="s">
        <v>32</v>
      </c>
      <c r="I59" s="56">
        <f>I57-I58</f>
        <v>46.33868603106248</v>
      </c>
      <c r="J59" s="24"/>
      <c r="P59" s="12"/>
    </row>
    <row r="61" spans="3:16" s="10" customFormat="1" ht="12.75">
      <c r="C61" s="10" t="s">
        <v>44</v>
      </c>
      <c r="I61" s="54">
        <f>I54</f>
        <v>99.23076923076923</v>
      </c>
      <c r="J61" s="14"/>
      <c r="P61" s="9"/>
    </row>
    <row r="62" spans="3:16" s="5" customFormat="1" ht="12.75">
      <c r="C62" s="5" t="s">
        <v>38</v>
      </c>
      <c r="H62" s="5" t="s">
        <v>32</v>
      </c>
      <c r="I62" s="56">
        <f>I59-I61</f>
        <v>-52.89208319970675</v>
      </c>
      <c r="J62" s="24"/>
      <c r="P62" s="12"/>
    </row>
    <row r="63" spans="9:16" ht="12.75">
      <c r="I63" s="12"/>
      <c r="J63" s="2"/>
      <c r="P63" s="12"/>
    </row>
    <row r="64" spans="3:16" ht="12.75">
      <c r="C64" t="s">
        <v>80</v>
      </c>
      <c r="I64" s="58">
        <f>(I58+I61)/(E11/100)</f>
        <v>93.84669695997867</v>
      </c>
      <c r="P64" s="17"/>
    </row>
    <row r="65" spans="3:16" ht="12.75">
      <c r="C65" t="s">
        <v>60</v>
      </c>
      <c r="I65" s="59">
        <f>(I58+I61-I50)/(E11/100)</f>
        <v>92.9739696872514</v>
      </c>
      <c r="P65" s="19"/>
    </row>
    <row r="66" spans="2:3" ht="12.75">
      <c r="B66" t="s">
        <v>10</v>
      </c>
      <c r="C66" t="s">
        <v>59</v>
      </c>
    </row>
    <row r="68" spans="2:9" ht="12.75">
      <c r="B68" s="5"/>
      <c r="C68" t="s">
        <v>81</v>
      </c>
      <c r="I68" s="59">
        <f>(I12-I37-I51-I54-I17)/E16*100</f>
        <v>62.369305600097746</v>
      </c>
    </row>
    <row r="69" spans="7:9" ht="12.75">
      <c r="G69" s="17"/>
      <c r="H69" s="21"/>
      <c r="I69" s="17"/>
    </row>
    <row r="70" ht="12.75">
      <c r="C70" t="s">
        <v>92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8">
      <selection activeCell="L20" sqref="L20:P22"/>
    </sheetView>
  </sheetViews>
  <sheetFormatPr defaultColWidth="9.140625" defaultRowHeight="12.75"/>
  <cols>
    <col min="1" max="2" width="2.7109375" style="0" customWidth="1"/>
    <col min="3" max="3" width="8.8515625" style="0" customWidth="1"/>
    <col min="4" max="4" width="10.7109375" style="0" customWidth="1"/>
    <col min="5" max="6" width="5.7109375" style="0" customWidth="1"/>
    <col min="7" max="7" width="8.7109375" style="0" customWidth="1"/>
    <col min="8" max="8" width="6.00390625" style="0" customWidth="1"/>
    <col min="9" max="9" width="10.7109375" style="0" customWidth="1"/>
    <col min="10" max="10" width="1.7109375" style="0" customWidth="1"/>
    <col min="11" max="11" width="4.7109375" style="0" customWidth="1"/>
    <col min="12" max="12" width="6.7109375" style="0" customWidth="1"/>
    <col min="13" max="13" width="5.7109375" style="0" customWidth="1"/>
    <col min="14" max="14" width="8.7109375" style="0" customWidth="1"/>
    <col min="15" max="15" width="6.00390625" style="0" customWidth="1"/>
    <col min="16" max="16" width="10.7109375" style="0" customWidth="1"/>
    <col min="17" max="16384" width="8.8515625" style="0" customWidth="1"/>
  </cols>
  <sheetData>
    <row r="1" ht="12.75">
      <c r="N1" t="s">
        <v>43</v>
      </c>
    </row>
    <row r="2" spans="1:8" s="15" customFormat="1" ht="15.75">
      <c r="A2" s="15" t="s">
        <v>66</v>
      </c>
      <c r="H2" s="15" t="s">
        <v>75</v>
      </c>
    </row>
    <row r="3" s="10" customFormat="1" ht="12.75"/>
    <row r="4" s="5" customFormat="1" ht="12.75">
      <c r="D4" s="5" t="s">
        <v>91</v>
      </c>
    </row>
    <row r="5" s="10" customFormat="1" ht="12.75">
      <c r="B5" s="5" t="s">
        <v>76</v>
      </c>
    </row>
    <row r="6" s="10" customFormat="1" ht="12.75">
      <c r="B6" s="10" t="s">
        <v>77</v>
      </c>
    </row>
    <row r="7" spans="16:17" s="10" customFormat="1" ht="12.75">
      <c r="P7" s="37"/>
      <c r="Q7" s="10" t="s">
        <v>85</v>
      </c>
    </row>
    <row r="8" spans="16:17" s="5" customFormat="1" ht="12.75">
      <c r="P8" s="38"/>
      <c r="Q8" s="10" t="s">
        <v>86</v>
      </c>
    </row>
    <row r="9" s="5" customFormat="1" ht="12.75">
      <c r="B9" s="5" t="s">
        <v>67</v>
      </c>
    </row>
    <row r="10" spans="2:17" s="1" customFormat="1" ht="12.75">
      <c r="B10" s="20" t="s">
        <v>0</v>
      </c>
      <c r="E10" s="1" t="s">
        <v>45</v>
      </c>
      <c r="F10" s="1" t="s">
        <v>26</v>
      </c>
      <c r="G10" s="1" t="s">
        <v>46</v>
      </c>
      <c r="H10" s="1" t="s">
        <v>47</v>
      </c>
      <c r="I10" s="1" t="s">
        <v>48</v>
      </c>
      <c r="L10" s="10" t="s">
        <v>69</v>
      </c>
      <c r="M10" s="25"/>
      <c r="N10" s="25"/>
      <c r="O10" s="25"/>
      <c r="P10" s="35">
        <v>2.8</v>
      </c>
      <c r="Q10" s="10" t="s">
        <v>82</v>
      </c>
    </row>
    <row r="11" spans="3:17" ht="12.75">
      <c r="C11" t="s">
        <v>17</v>
      </c>
      <c r="E11" s="39">
        <v>1375</v>
      </c>
      <c r="F11" t="s">
        <v>25</v>
      </c>
      <c r="G11" s="52">
        <v>88</v>
      </c>
      <c r="H11" s="2" t="s">
        <v>31</v>
      </c>
      <c r="I11" s="54">
        <f>E11*(G11/100)</f>
        <v>1210</v>
      </c>
      <c r="J11" s="2"/>
      <c r="L11" s="5"/>
      <c r="M11" s="26"/>
      <c r="N11" s="26"/>
      <c r="O11" s="26"/>
      <c r="P11" s="27"/>
      <c r="Q11" s="5"/>
    </row>
    <row r="12" spans="3:16" ht="12.75">
      <c r="C12" t="s">
        <v>13</v>
      </c>
      <c r="I12" s="45">
        <f>SUM(I11:I11)</f>
        <v>1210</v>
      </c>
      <c r="J12" s="2"/>
      <c r="L12" t="s">
        <v>103</v>
      </c>
      <c r="M12" s="28"/>
      <c r="N12" s="29"/>
      <c r="O12" s="28"/>
      <c r="P12" s="50">
        <f>P14/P10</f>
        <v>455.3571428571429</v>
      </c>
    </row>
    <row r="13" spans="9:16" ht="12.75">
      <c r="I13" s="2"/>
      <c r="M13" s="28"/>
      <c r="N13" s="28"/>
      <c r="O13" s="28"/>
      <c r="P13" s="30"/>
    </row>
    <row r="14" spans="2:17" s="1" customFormat="1" ht="12.75">
      <c r="B14" s="20" t="s">
        <v>1</v>
      </c>
      <c r="E14" s="1" t="s">
        <v>51</v>
      </c>
      <c r="F14" s="1" t="s">
        <v>49</v>
      </c>
      <c r="G14" s="1" t="s">
        <v>50</v>
      </c>
      <c r="H14" s="1" t="s">
        <v>52</v>
      </c>
      <c r="I14" s="1" t="s">
        <v>48</v>
      </c>
      <c r="L14" t="s">
        <v>70</v>
      </c>
      <c r="M14" s="28"/>
      <c r="N14" s="28"/>
      <c r="O14" s="28"/>
      <c r="P14" s="57">
        <f>E11-E16</f>
        <v>1275</v>
      </c>
      <c r="Q14"/>
    </row>
    <row r="15" spans="1:17" ht="12.75">
      <c r="A15" t="s">
        <v>10</v>
      </c>
      <c r="B15" s="1" t="s">
        <v>53</v>
      </c>
      <c r="C15" s="1"/>
      <c r="K15" s="1"/>
      <c r="L15" s="1"/>
      <c r="M15" s="25"/>
      <c r="N15" s="25"/>
      <c r="O15" s="25"/>
      <c r="P15" s="27"/>
      <c r="Q15" s="1"/>
    </row>
    <row r="16" spans="3:17" ht="12.75">
      <c r="C16" t="s">
        <v>11</v>
      </c>
      <c r="E16" s="39">
        <v>100</v>
      </c>
      <c r="F16" t="s">
        <v>25</v>
      </c>
      <c r="G16" s="52">
        <v>50</v>
      </c>
      <c r="H16" s="2" t="s">
        <v>31</v>
      </c>
      <c r="I16" s="45">
        <f>E16*(G16/100)</f>
        <v>50</v>
      </c>
      <c r="J16" s="2"/>
      <c r="L16" t="s">
        <v>71</v>
      </c>
      <c r="M16" s="28"/>
      <c r="N16" s="28"/>
      <c r="O16" s="28"/>
      <c r="P16" s="36">
        <v>6.5</v>
      </c>
      <c r="Q16" t="s">
        <v>83</v>
      </c>
    </row>
    <row r="17" spans="3:17" s="10" customFormat="1" ht="12.75">
      <c r="C17" s="10" t="s">
        <v>18</v>
      </c>
      <c r="G17" s="53">
        <v>2</v>
      </c>
      <c r="H17" s="10" t="s">
        <v>32</v>
      </c>
      <c r="I17" s="54">
        <f>G17</f>
        <v>2</v>
      </c>
      <c r="J17" s="14"/>
      <c r="L17"/>
      <c r="M17" s="28"/>
      <c r="N17" s="29"/>
      <c r="O17" s="28"/>
      <c r="P17" s="30"/>
      <c r="Q17"/>
    </row>
    <row r="18" spans="3:17" ht="12.75">
      <c r="C18" t="s">
        <v>19</v>
      </c>
      <c r="I18" s="45">
        <f>SUM(I16:I17)</f>
        <v>52</v>
      </c>
      <c r="J18" s="2"/>
      <c r="L18" t="s">
        <v>72</v>
      </c>
      <c r="M18" s="25"/>
      <c r="N18" s="31"/>
      <c r="O18" s="25"/>
      <c r="P18" s="50">
        <f>P16*P14</f>
        <v>8287.5</v>
      </c>
      <c r="Q18" s="1"/>
    </row>
    <row r="19" spans="9:17" ht="12.75">
      <c r="I19" s="8"/>
      <c r="J19" s="2"/>
      <c r="M19" s="25"/>
      <c r="N19" s="31"/>
      <c r="O19" s="25"/>
      <c r="P19" s="34"/>
      <c r="Q19" s="1"/>
    </row>
    <row r="20" spans="9:17" ht="12.75">
      <c r="I20" s="8"/>
      <c r="J20" s="2"/>
      <c r="L20" t="s">
        <v>104</v>
      </c>
      <c r="M20" s="25"/>
      <c r="N20" s="31"/>
      <c r="O20" s="81" t="s">
        <v>106</v>
      </c>
      <c r="P20" s="34"/>
      <c r="Q20" s="1"/>
    </row>
    <row r="21" spans="9:17" ht="12.75">
      <c r="I21" s="8"/>
      <c r="J21" s="2"/>
      <c r="L21" t="s">
        <v>105</v>
      </c>
      <c r="M21" s="25"/>
      <c r="N21" s="31"/>
      <c r="O21" s="81" t="s">
        <v>107</v>
      </c>
      <c r="P21" s="34"/>
      <c r="Q21" s="1"/>
    </row>
    <row r="22" spans="2:16" ht="12.75">
      <c r="B22" s="1" t="s">
        <v>54</v>
      </c>
      <c r="K22" s="1"/>
      <c r="L22" t="s">
        <v>74</v>
      </c>
      <c r="M22" s="28"/>
      <c r="N22" s="32" t="s">
        <v>73</v>
      </c>
      <c r="O22" s="32" t="s">
        <v>74</v>
      </c>
      <c r="P22" s="27" t="s">
        <v>78</v>
      </c>
    </row>
    <row r="23" spans="3:16" ht="12.75">
      <c r="C23" t="s">
        <v>20</v>
      </c>
      <c r="E23" s="39">
        <v>50</v>
      </c>
      <c r="F23" t="s">
        <v>25</v>
      </c>
      <c r="G23" s="40">
        <v>60</v>
      </c>
      <c r="H23" t="s">
        <v>31</v>
      </c>
      <c r="I23" s="66">
        <f>E23*(G23/100)</f>
        <v>30</v>
      </c>
      <c r="J23" s="2"/>
      <c r="M23" s="28"/>
      <c r="N23" s="33"/>
      <c r="O23" s="32"/>
      <c r="P23" s="30"/>
    </row>
    <row r="24" spans="3:16" ht="12.75">
      <c r="C24" t="s">
        <v>21</v>
      </c>
      <c r="E24" s="39">
        <v>50</v>
      </c>
      <c r="F24" t="s">
        <v>25</v>
      </c>
      <c r="G24" s="40">
        <v>28</v>
      </c>
      <c r="H24" t="s">
        <v>31</v>
      </c>
      <c r="I24" s="66">
        <f>E24*(G24/100)</f>
        <v>14.000000000000002</v>
      </c>
      <c r="J24" s="2"/>
      <c r="M24" s="28"/>
      <c r="N24" s="33"/>
      <c r="O24" s="32"/>
      <c r="P24" s="30"/>
    </row>
    <row r="25" spans="3:16" ht="12.75">
      <c r="C25" t="s">
        <v>36</v>
      </c>
      <c r="E25" s="46">
        <f>P25</f>
        <v>6745.639534883721</v>
      </c>
      <c r="F25" t="s">
        <v>25</v>
      </c>
      <c r="G25" s="40">
        <v>5.5</v>
      </c>
      <c r="H25" t="s">
        <v>35</v>
      </c>
      <c r="I25" s="66">
        <f>E25*(G25/56)</f>
        <v>662.5181686046512</v>
      </c>
      <c r="J25" s="2"/>
      <c r="L25" s="47">
        <v>0.7</v>
      </c>
      <c r="M25" s="28"/>
      <c r="N25" s="48">
        <f aca="true" t="shared" si="0" ref="N25:N30">L25*P$18</f>
        <v>5801.25</v>
      </c>
      <c r="O25" s="49">
        <v>86</v>
      </c>
      <c r="P25" s="50">
        <f aca="true" t="shared" si="1" ref="P25:P30">N25/(O25/100)</f>
        <v>6745.639534883721</v>
      </c>
    </row>
    <row r="26" spans="3:16" ht="12.75">
      <c r="C26" t="s">
        <v>39</v>
      </c>
      <c r="E26" s="46">
        <f>P26</f>
        <v>0</v>
      </c>
      <c r="F26" t="s">
        <v>25</v>
      </c>
      <c r="G26" s="40">
        <v>1</v>
      </c>
      <c r="H26" t="s">
        <v>35</v>
      </c>
      <c r="I26" s="66">
        <f>E26*(G26/32)</f>
        <v>0</v>
      </c>
      <c r="J26" s="2"/>
      <c r="L26" s="47">
        <v>0</v>
      </c>
      <c r="M26" s="28"/>
      <c r="N26" s="48">
        <f t="shared" si="0"/>
        <v>0</v>
      </c>
      <c r="O26" s="49">
        <v>86</v>
      </c>
      <c r="P26" s="50">
        <f t="shared" si="1"/>
        <v>0</v>
      </c>
    </row>
    <row r="27" spans="3:16" ht="12.75">
      <c r="C27" t="s">
        <v>63</v>
      </c>
      <c r="E27" s="46">
        <f>P27</f>
        <v>900.8152173913043</v>
      </c>
      <c r="F27" t="s">
        <v>25</v>
      </c>
      <c r="G27" s="40">
        <v>450</v>
      </c>
      <c r="H27" t="s">
        <v>33</v>
      </c>
      <c r="I27" s="66">
        <f>E27*G27/2000</f>
        <v>202.68342391304347</v>
      </c>
      <c r="L27" s="47">
        <v>0.1</v>
      </c>
      <c r="M27" s="28"/>
      <c r="N27" s="48">
        <f t="shared" si="0"/>
        <v>828.75</v>
      </c>
      <c r="O27" s="49">
        <v>92</v>
      </c>
      <c r="P27" s="50">
        <f t="shared" si="1"/>
        <v>900.8152173913043</v>
      </c>
    </row>
    <row r="28" spans="3:16" ht="12.75">
      <c r="C28" t="s">
        <v>64</v>
      </c>
      <c r="E28" s="46">
        <f aca="true" t="shared" si="2" ref="E28:E36">P28</f>
        <v>0</v>
      </c>
      <c r="F28" t="s">
        <v>25</v>
      </c>
      <c r="G28" s="40">
        <v>0</v>
      </c>
      <c r="H28" t="s">
        <v>33</v>
      </c>
      <c r="I28" s="66">
        <f>E28*G28/2000</f>
        <v>0</v>
      </c>
      <c r="L28" s="47">
        <v>0</v>
      </c>
      <c r="M28" s="28"/>
      <c r="N28" s="48">
        <f t="shared" si="0"/>
        <v>0</v>
      </c>
      <c r="O28" s="49">
        <v>92</v>
      </c>
      <c r="P28" s="50">
        <f t="shared" si="1"/>
        <v>0</v>
      </c>
    </row>
    <row r="29" spans="3:16" ht="12.75">
      <c r="C29" t="s">
        <v>61</v>
      </c>
      <c r="E29" s="46">
        <f t="shared" si="2"/>
        <v>0</v>
      </c>
      <c r="F29" t="s">
        <v>25</v>
      </c>
      <c r="G29" s="40">
        <v>80</v>
      </c>
      <c r="H29" t="s">
        <v>33</v>
      </c>
      <c r="I29" s="66">
        <f>E29*(G29/2000)</f>
        <v>0</v>
      </c>
      <c r="J29" s="2"/>
      <c r="L29" s="47">
        <v>0</v>
      </c>
      <c r="M29" s="28"/>
      <c r="N29" s="48">
        <f t="shared" si="0"/>
        <v>0</v>
      </c>
      <c r="O29" s="49">
        <v>38</v>
      </c>
      <c r="P29" s="50">
        <f t="shared" si="1"/>
        <v>0</v>
      </c>
    </row>
    <row r="30" spans="3:16" ht="12.75">
      <c r="C30" t="s">
        <v>62</v>
      </c>
      <c r="E30" s="46">
        <f t="shared" si="2"/>
        <v>4361.8421052631575</v>
      </c>
      <c r="F30" t="s">
        <v>25</v>
      </c>
      <c r="G30" s="40">
        <v>35</v>
      </c>
      <c r="H30" t="s">
        <v>33</v>
      </c>
      <c r="I30" s="66">
        <f>E30*(G30/2000)</f>
        <v>76.33223684210526</v>
      </c>
      <c r="L30" s="47">
        <v>0.2</v>
      </c>
      <c r="M30" s="28"/>
      <c r="N30" s="48">
        <f t="shared" si="0"/>
        <v>1657.5</v>
      </c>
      <c r="O30" s="49">
        <v>38</v>
      </c>
      <c r="P30" s="50">
        <f t="shared" si="1"/>
        <v>4361.8421052631575</v>
      </c>
    </row>
    <row r="31" spans="3:16" ht="12.75">
      <c r="C31" t="s">
        <v>2</v>
      </c>
      <c r="E31" s="60">
        <f t="shared" si="2"/>
        <v>0</v>
      </c>
      <c r="F31" t="s">
        <v>55</v>
      </c>
      <c r="G31" s="40">
        <v>65</v>
      </c>
      <c r="H31" t="s">
        <v>34</v>
      </c>
      <c r="I31" s="66">
        <f>E31*G31</f>
        <v>0</v>
      </c>
      <c r="J31" s="2"/>
      <c r="L31" s="11"/>
      <c r="N31" s="19"/>
      <c r="O31" s="65"/>
      <c r="P31" s="8"/>
    </row>
    <row r="32" spans="3:9" ht="12.75">
      <c r="C32" t="s">
        <v>65</v>
      </c>
      <c r="E32" s="60">
        <f t="shared" si="2"/>
        <v>0</v>
      </c>
      <c r="F32" t="s">
        <v>25</v>
      </c>
      <c r="G32" s="40">
        <v>5</v>
      </c>
      <c r="H32" t="s">
        <v>31</v>
      </c>
      <c r="I32" s="66">
        <f>E32*G32/100</f>
        <v>0</v>
      </c>
    </row>
    <row r="33" spans="3:10" ht="12.75">
      <c r="C33" t="s">
        <v>22</v>
      </c>
      <c r="E33" s="60">
        <f t="shared" si="2"/>
        <v>0</v>
      </c>
      <c r="F33" t="s">
        <v>25</v>
      </c>
      <c r="G33" s="40">
        <v>18</v>
      </c>
      <c r="H33" t="s">
        <v>31</v>
      </c>
      <c r="I33" s="66">
        <f>E33*(G33/100)</f>
        <v>0</v>
      </c>
      <c r="J33" s="2"/>
    </row>
    <row r="34" spans="3:16" s="10" customFormat="1" ht="12.75">
      <c r="C34" s="10" t="s">
        <v>3</v>
      </c>
      <c r="E34" s="60">
        <f t="shared" si="2"/>
        <v>0</v>
      </c>
      <c r="F34" s="10" t="s">
        <v>25</v>
      </c>
      <c r="G34" s="41">
        <v>13</v>
      </c>
      <c r="H34" s="10" t="s">
        <v>31</v>
      </c>
      <c r="I34" s="67">
        <f>E34*(G34/100)</f>
        <v>0</v>
      </c>
      <c r="J34" s="14"/>
      <c r="K34"/>
      <c r="L34" s="11"/>
      <c r="N34" s="23"/>
      <c r="P34" s="13"/>
    </row>
    <row r="35" spans="3:16" s="10" customFormat="1" ht="12.75">
      <c r="C35" s="10" t="s">
        <v>42</v>
      </c>
      <c r="E35" s="60">
        <f t="shared" si="2"/>
        <v>0</v>
      </c>
      <c r="F35" s="10" t="s">
        <v>25</v>
      </c>
      <c r="G35" s="41">
        <v>32</v>
      </c>
      <c r="H35" s="10" t="s">
        <v>31</v>
      </c>
      <c r="I35" s="67">
        <f>E35*(G35/100)</f>
        <v>0</v>
      </c>
      <c r="J35" s="14"/>
      <c r="K35"/>
      <c r="L35" s="11"/>
      <c r="N35" s="23"/>
      <c r="P35" s="13"/>
    </row>
    <row r="36" spans="3:16" s="10" customFormat="1" ht="12.75">
      <c r="C36" s="10" t="s">
        <v>41</v>
      </c>
      <c r="E36" s="60">
        <f t="shared" si="2"/>
        <v>0</v>
      </c>
      <c r="F36" s="10" t="s">
        <v>25</v>
      </c>
      <c r="G36" s="41">
        <v>0.15</v>
      </c>
      <c r="H36" s="10" t="s">
        <v>31</v>
      </c>
      <c r="I36" s="68">
        <f>E36*(G36/100)</f>
        <v>0</v>
      </c>
      <c r="J36" s="14"/>
      <c r="L36" s="11"/>
      <c r="N36" s="23"/>
      <c r="P36" s="9"/>
    </row>
    <row r="37" spans="3:16" ht="12.75">
      <c r="C37" t="s">
        <v>4</v>
      </c>
      <c r="I37" s="69">
        <f>SUM(I23:I36)</f>
        <v>985.5338293597999</v>
      </c>
      <c r="J37" s="2"/>
      <c r="P37" s="8"/>
    </row>
    <row r="38" spans="3:16" ht="12.75">
      <c r="C38" t="s">
        <v>79</v>
      </c>
      <c r="I38" s="69">
        <f>I37/P14</f>
        <v>0.7729677093018039</v>
      </c>
      <c r="J38" s="2"/>
      <c r="P38" s="8"/>
    </row>
    <row r="39" spans="9:16" ht="12.75">
      <c r="I39" s="8"/>
      <c r="J39" s="2"/>
      <c r="P39" s="8"/>
    </row>
    <row r="40" spans="2:11" ht="12.75">
      <c r="B40" s="1" t="s">
        <v>57</v>
      </c>
      <c r="K40" s="1"/>
    </row>
    <row r="41" spans="3:16" ht="12.75">
      <c r="C41" t="s">
        <v>12</v>
      </c>
      <c r="E41" s="39">
        <v>2</v>
      </c>
      <c r="F41" t="s">
        <v>27</v>
      </c>
      <c r="G41" s="6"/>
      <c r="H41" s="2"/>
      <c r="I41" s="45">
        <f>I12*(E41/100)</f>
        <v>24.2</v>
      </c>
      <c r="J41" s="2"/>
      <c r="N41" s="6"/>
      <c r="P41" s="8"/>
    </row>
    <row r="42" spans="3:16" ht="12.75">
      <c r="C42" t="s">
        <v>23</v>
      </c>
      <c r="E42" s="51">
        <f>I18</f>
        <v>52</v>
      </c>
      <c r="F42" t="s">
        <v>56</v>
      </c>
      <c r="G42" s="39">
        <v>8</v>
      </c>
      <c r="H42" s="2" t="s">
        <v>37</v>
      </c>
      <c r="I42" s="45">
        <f>E42*(G42/100)*(P$12/365)</f>
        <v>5.189823874755382</v>
      </c>
      <c r="J42" s="2"/>
      <c r="K42" t="s">
        <v>88</v>
      </c>
      <c r="P42" s="8"/>
    </row>
    <row r="43" spans="3:16" ht="12.75">
      <c r="C43" t="s">
        <v>24</v>
      </c>
      <c r="E43" s="51">
        <f>0.5*I37</f>
        <v>492.76691467989997</v>
      </c>
      <c r="F43" t="s">
        <v>56</v>
      </c>
      <c r="G43" s="39">
        <v>8</v>
      </c>
      <c r="H43" s="2" t="s">
        <v>37</v>
      </c>
      <c r="I43" s="45">
        <f>(E43)*(G43/100)*(P$12/365)</f>
        <v>49.180259586447946</v>
      </c>
      <c r="J43" s="2"/>
      <c r="K43" t="s">
        <v>88</v>
      </c>
      <c r="M43" s="7"/>
      <c r="P43" s="8"/>
    </row>
    <row r="44" spans="3:16" ht="12.75">
      <c r="C44" t="s">
        <v>5</v>
      </c>
      <c r="E44" s="39">
        <f>5*P12</f>
        <v>2276.7857142857147</v>
      </c>
      <c r="F44" t="s">
        <v>25</v>
      </c>
      <c r="G44" s="52">
        <v>35</v>
      </c>
      <c r="H44" s="2" t="s">
        <v>33</v>
      </c>
      <c r="I44" s="45">
        <f>E44*(G44/2000)</f>
        <v>39.84375000000001</v>
      </c>
      <c r="J44" s="2"/>
      <c r="N44" s="8"/>
      <c r="P44" s="8"/>
    </row>
    <row r="45" spans="3:16" ht="12.75">
      <c r="C45" t="s">
        <v>6</v>
      </c>
      <c r="G45" s="52">
        <v>3</v>
      </c>
      <c r="H45" s="2" t="s">
        <v>32</v>
      </c>
      <c r="I45" s="45">
        <f aca="true" t="shared" si="3" ref="I45:I50">G45</f>
        <v>3</v>
      </c>
      <c r="J45" s="2"/>
      <c r="L45" s="6"/>
      <c r="N45" s="8"/>
      <c r="P45" s="8"/>
    </row>
    <row r="46" spans="3:16" ht="12.75">
      <c r="C46" t="s">
        <v>15</v>
      </c>
      <c r="G46" s="52">
        <v>14</v>
      </c>
      <c r="H46" s="2" t="s">
        <v>32</v>
      </c>
      <c r="I46" s="45">
        <f t="shared" si="3"/>
        <v>14</v>
      </c>
      <c r="J46" s="2"/>
      <c r="L46" s="6"/>
      <c r="N46" s="8"/>
      <c r="P46" s="8"/>
    </row>
    <row r="47" spans="3:16" ht="12.75">
      <c r="C47" t="s">
        <v>7</v>
      </c>
      <c r="G47" s="52">
        <v>3</v>
      </c>
      <c r="H47" s="2" t="s">
        <v>32</v>
      </c>
      <c r="I47" s="45">
        <f t="shared" si="3"/>
        <v>3</v>
      </c>
      <c r="J47" s="2"/>
      <c r="L47" s="6"/>
      <c r="N47" s="8"/>
      <c r="P47" s="8"/>
    </row>
    <row r="48" spans="3:16" ht="12.75">
      <c r="C48" t="s">
        <v>8</v>
      </c>
      <c r="G48" s="52">
        <v>1</v>
      </c>
      <c r="H48" s="2" t="s">
        <v>32</v>
      </c>
      <c r="I48" s="45">
        <f t="shared" si="3"/>
        <v>1</v>
      </c>
      <c r="J48" s="2"/>
      <c r="L48" s="6"/>
      <c r="N48" s="8"/>
      <c r="P48" s="8"/>
    </row>
    <row r="49" spans="3:16" ht="12.75">
      <c r="C49" t="s">
        <v>16</v>
      </c>
      <c r="G49" s="52">
        <v>5</v>
      </c>
      <c r="H49" t="s">
        <v>32</v>
      </c>
      <c r="I49" s="45">
        <f t="shared" si="3"/>
        <v>5</v>
      </c>
      <c r="L49" s="6"/>
      <c r="N49" s="8"/>
      <c r="P49" s="8"/>
    </row>
    <row r="50" spans="3:16" s="10" customFormat="1" ht="12.75">
      <c r="C50" s="10" t="s">
        <v>30</v>
      </c>
      <c r="G50" s="53">
        <v>12</v>
      </c>
      <c r="H50" s="14" t="s">
        <v>32</v>
      </c>
      <c r="I50" s="54">
        <f t="shared" si="3"/>
        <v>12</v>
      </c>
      <c r="J50" s="14"/>
      <c r="L50" s="22"/>
      <c r="N50" s="13"/>
      <c r="P50" s="9"/>
    </row>
    <row r="51" spans="3:16" ht="12.75">
      <c r="C51" t="s">
        <v>9</v>
      </c>
      <c r="I51" s="45">
        <f>SUM(I41:I50)</f>
        <v>156.41383346120332</v>
      </c>
      <c r="J51" s="2"/>
      <c r="P51" s="8"/>
    </row>
    <row r="52" s="5" customFormat="1" ht="12.75">
      <c r="B52" s="5" t="s">
        <v>58</v>
      </c>
    </row>
    <row r="53" spans="3:16" ht="12.75">
      <c r="C53" t="s">
        <v>101</v>
      </c>
      <c r="E53" s="8"/>
      <c r="F53" s="3"/>
      <c r="G53" s="55">
        <v>0.45</v>
      </c>
      <c r="H53" s="78"/>
      <c r="I53" s="79"/>
      <c r="L53" s="8"/>
      <c r="N53" s="18"/>
      <c r="O53" s="21"/>
      <c r="P53" s="2"/>
    </row>
    <row r="54" spans="3:16" ht="12.75">
      <c r="C54" t="s">
        <v>100</v>
      </c>
      <c r="G54" s="46">
        <f>P12</f>
        <v>455.3571428571429</v>
      </c>
      <c r="H54" t="s">
        <v>98</v>
      </c>
      <c r="I54" s="56">
        <f>G53*G54</f>
        <v>204.9107142857143</v>
      </c>
      <c r="J54" s="2"/>
      <c r="P54" s="12"/>
    </row>
    <row r="55" spans="9:16" ht="12.75">
      <c r="I55" s="8"/>
      <c r="J55" s="2"/>
      <c r="P55" s="8"/>
    </row>
    <row r="56" spans="2:8" s="5" customFormat="1" ht="12.75">
      <c r="B56" s="5" t="s">
        <v>14</v>
      </c>
      <c r="H56" s="5" t="s">
        <v>40</v>
      </c>
    </row>
    <row r="57" spans="3:16" ht="12.75">
      <c r="C57" t="s">
        <v>28</v>
      </c>
      <c r="I57" s="45">
        <f>I12</f>
        <v>1210</v>
      </c>
      <c r="J57" s="2"/>
      <c r="P57" s="8"/>
    </row>
    <row r="58" spans="3:16" s="10" customFormat="1" ht="12.75">
      <c r="C58" s="10" t="s">
        <v>29</v>
      </c>
      <c r="I58" s="54">
        <f>I18+I37+I51</f>
        <v>1193.9476628210032</v>
      </c>
      <c r="J58" s="14"/>
      <c r="P58" s="9"/>
    </row>
    <row r="59" spans="3:16" s="5" customFormat="1" ht="12.75">
      <c r="C59" s="5" t="s">
        <v>68</v>
      </c>
      <c r="H59" s="5" t="s">
        <v>32</v>
      </c>
      <c r="I59" s="56">
        <f>I57-I58</f>
        <v>16.052337178996822</v>
      </c>
      <c r="J59" s="24"/>
      <c r="P59" s="12"/>
    </row>
    <row r="60" spans="3:16" s="5" customFormat="1" ht="12.75">
      <c r="C60" t="s">
        <v>80</v>
      </c>
      <c r="D60"/>
      <c r="E60"/>
      <c r="F60"/>
      <c r="G60"/>
      <c r="H60"/>
      <c r="I60" s="58">
        <f>(I58)/(E11/100)</f>
        <v>86.83255729607296</v>
      </c>
      <c r="J60" s="24"/>
      <c r="P60" s="12"/>
    </row>
    <row r="61" spans="3:16" s="5" customFormat="1" ht="12.75">
      <c r="C61" t="s">
        <v>60</v>
      </c>
      <c r="D61"/>
      <c r="E61"/>
      <c r="F61"/>
      <c r="G61"/>
      <c r="H61"/>
      <c r="I61" s="59">
        <f>(I58-I50)/(E11/100)</f>
        <v>85.95983002334569</v>
      </c>
      <c r="J61" s="24"/>
      <c r="P61" s="12"/>
    </row>
    <row r="62" spans="3:16" s="5" customFormat="1" ht="12.75">
      <c r="C62" t="s">
        <v>59</v>
      </c>
      <c r="D62"/>
      <c r="E62"/>
      <c r="F62"/>
      <c r="G62"/>
      <c r="H62"/>
      <c r="I62"/>
      <c r="J62" s="24"/>
      <c r="P62" s="12"/>
    </row>
    <row r="64" spans="3:16" s="10" customFormat="1" ht="12.75">
      <c r="C64" s="10" t="s">
        <v>44</v>
      </c>
      <c r="I64" s="54">
        <f>I54</f>
        <v>204.9107142857143</v>
      </c>
      <c r="J64" s="14"/>
      <c r="P64" s="9"/>
    </row>
    <row r="65" spans="3:16" s="5" customFormat="1" ht="12.75">
      <c r="C65" s="5" t="s">
        <v>38</v>
      </c>
      <c r="H65" s="5" t="s">
        <v>32</v>
      </c>
      <c r="I65" s="56">
        <f>I59-I64</f>
        <v>-188.85837710671748</v>
      </c>
      <c r="J65" s="24"/>
      <c r="P65" s="12"/>
    </row>
    <row r="66" spans="9:16" ht="12.75">
      <c r="I66" s="12"/>
      <c r="J66" s="2"/>
      <c r="P66" s="12"/>
    </row>
    <row r="67" spans="3:16" ht="12.75">
      <c r="C67" t="s">
        <v>80</v>
      </c>
      <c r="I67" s="58">
        <f>(I58+I64)/(E11/100)</f>
        <v>101.73515469867036</v>
      </c>
      <c r="P67" s="17"/>
    </row>
    <row r="68" spans="3:16" ht="12.75">
      <c r="C68" t="s">
        <v>60</v>
      </c>
      <c r="I68" s="59">
        <f>(I58+I64-I50)/(E11/100)</f>
        <v>100.86242742594308</v>
      </c>
      <c r="P68" s="19"/>
    </row>
    <row r="69" spans="2:3" ht="12.75">
      <c r="B69" t="s">
        <v>10</v>
      </c>
      <c r="C69" t="s">
        <v>59</v>
      </c>
    </row>
    <row r="71" spans="2:9" ht="12.75">
      <c r="B71" s="5"/>
      <c r="C71" t="s">
        <v>81</v>
      </c>
      <c r="I71" s="59">
        <f>(I12-I37-I51-I54-I17)/E16*100</f>
        <v>-138.85837710671757</v>
      </c>
    </row>
    <row r="72" spans="7:9" ht="12.75">
      <c r="G72" s="17"/>
      <c r="H72" s="21"/>
      <c r="I72" s="17"/>
    </row>
    <row r="73" ht="12.75">
      <c r="C73" t="s">
        <v>92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C65" sqref="C65"/>
    </sheetView>
  </sheetViews>
  <sheetFormatPr defaultColWidth="9.140625" defaultRowHeight="12.75"/>
  <cols>
    <col min="1" max="2" width="2.7109375" style="0" customWidth="1"/>
    <col min="3" max="3" width="8.8515625" style="0" customWidth="1"/>
    <col min="4" max="4" width="10.7109375" style="0" customWidth="1"/>
    <col min="5" max="6" width="5.7109375" style="0" customWidth="1"/>
    <col min="7" max="7" width="8.7109375" style="0" customWidth="1"/>
    <col min="8" max="8" width="6.00390625" style="0" customWidth="1"/>
    <col min="9" max="9" width="10.7109375" style="0" customWidth="1"/>
    <col min="10" max="10" width="1.7109375" style="0" customWidth="1"/>
    <col min="11" max="11" width="4.7109375" style="0" customWidth="1"/>
    <col min="12" max="12" width="6.7109375" style="0" customWidth="1"/>
    <col min="13" max="13" width="5.7109375" style="0" customWidth="1"/>
    <col min="14" max="14" width="8.7109375" style="0" customWidth="1"/>
    <col min="15" max="15" width="6.00390625" style="0" customWidth="1"/>
    <col min="16" max="16" width="10.7109375" style="0" customWidth="1"/>
    <col min="17" max="16384" width="8.8515625" style="0" customWidth="1"/>
  </cols>
  <sheetData>
    <row r="1" ht="12.75">
      <c r="N1" t="s">
        <v>43</v>
      </c>
    </row>
    <row r="2" s="15" customFormat="1" ht="15.75">
      <c r="A2" s="15" t="s">
        <v>66</v>
      </c>
    </row>
    <row r="3" s="10" customFormat="1" ht="12.75"/>
    <row r="4" s="5" customFormat="1" ht="12.75">
      <c r="D4" s="5" t="s">
        <v>84</v>
      </c>
    </row>
    <row r="5" s="10" customFormat="1" ht="12.75">
      <c r="B5" s="5" t="s">
        <v>76</v>
      </c>
    </row>
    <row r="6" s="10" customFormat="1" ht="12.75">
      <c r="B6" s="10" t="s">
        <v>77</v>
      </c>
    </row>
    <row r="7" spans="16:17" s="10" customFormat="1" ht="12.75">
      <c r="P7" s="37"/>
      <c r="Q7" s="10" t="s">
        <v>85</v>
      </c>
    </row>
    <row r="8" spans="16:17" s="5" customFormat="1" ht="12.75">
      <c r="P8" s="38"/>
      <c r="Q8" s="10" t="s">
        <v>86</v>
      </c>
    </row>
    <row r="9" s="5" customFormat="1" ht="12.75">
      <c r="B9" s="5" t="s">
        <v>67</v>
      </c>
    </row>
    <row r="10" spans="2:17" s="1" customFormat="1" ht="12.75">
      <c r="B10" s="20" t="s">
        <v>0</v>
      </c>
      <c r="E10" s="1" t="s">
        <v>45</v>
      </c>
      <c r="F10" s="1" t="s">
        <v>26</v>
      </c>
      <c r="G10" s="1" t="s">
        <v>46</v>
      </c>
      <c r="H10" s="1" t="s">
        <v>47</v>
      </c>
      <c r="I10" s="1" t="s">
        <v>48</v>
      </c>
      <c r="L10" s="10" t="s">
        <v>69</v>
      </c>
      <c r="M10" s="25"/>
      <c r="N10" s="25"/>
      <c r="O10" s="25"/>
      <c r="P10" s="35">
        <v>2.5</v>
      </c>
      <c r="Q10" s="10" t="s">
        <v>82</v>
      </c>
    </row>
    <row r="11" spans="3:17" ht="12.75">
      <c r="C11" t="s">
        <v>17</v>
      </c>
      <c r="E11" s="39">
        <v>1200</v>
      </c>
      <c r="F11" t="s">
        <v>25</v>
      </c>
      <c r="G11" s="52">
        <v>90</v>
      </c>
      <c r="H11" s="2" t="s">
        <v>31</v>
      </c>
      <c r="I11" s="54">
        <f>E11*(G11/100)</f>
        <v>1080</v>
      </c>
      <c r="J11" s="2"/>
      <c r="L11" s="5"/>
      <c r="M11" s="26"/>
      <c r="N11" s="26"/>
      <c r="O11" s="26"/>
      <c r="P11" s="27"/>
      <c r="Q11" s="5"/>
    </row>
    <row r="12" spans="3:16" ht="12.75">
      <c r="C12" t="s">
        <v>13</v>
      </c>
      <c r="I12" s="45">
        <f>SUM(I11:I11)</f>
        <v>1080</v>
      </c>
      <c r="J12" s="2"/>
      <c r="L12" t="s">
        <v>99</v>
      </c>
      <c r="M12" s="28"/>
      <c r="N12" s="29"/>
      <c r="O12" s="28"/>
      <c r="P12" s="50">
        <f>P14/P10</f>
        <v>320</v>
      </c>
    </row>
    <row r="13" spans="9:16" ht="12.75">
      <c r="I13" s="2"/>
      <c r="M13" s="28"/>
      <c r="N13" s="28"/>
      <c r="O13" s="28"/>
      <c r="P13" s="30"/>
    </row>
    <row r="14" spans="2:17" s="1" customFormat="1" ht="12.75">
      <c r="B14" s="20" t="s">
        <v>1</v>
      </c>
      <c r="E14" s="1" t="s">
        <v>51</v>
      </c>
      <c r="F14" s="1" t="s">
        <v>49</v>
      </c>
      <c r="G14" s="1" t="s">
        <v>50</v>
      </c>
      <c r="H14" s="1" t="s">
        <v>52</v>
      </c>
      <c r="I14" s="1" t="s">
        <v>48</v>
      </c>
      <c r="L14" t="s">
        <v>70</v>
      </c>
      <c r="M14" s="28"/>
      <c r="N14" s="28"/>
      <c r="O14" s="28"/>
      <c r="P14" s="57">
        <f>E11-E16</f>
        <v>800</v>
      </c>
      <c r="Q14"/>
    </row>
    <row r="15" spans="1:17" ht="12.75">
      <c r="A15" t="s">
        <v>10</v>
      </c>
      <c r="B15" s="1" t="s">
        <v>53</v>
      </c>
      <c r="C15" s="1"/>
      <c r="K15" s="1"/>
      <c r="L15" s="1"/>
      <c r="M15" s="25"/>
      <c r="N15" s="25"/>
      <c r="O15" s="25"/>
      <c r="P15" s="27"/>
      <c r="Q15" s="1"/>
    </row>
    <row r="16" spans="3:17" ht="12.75">
      <c r="C16" t="s">
        <v>11</v>
      </c>
      <c r="E16" s="39">
        <v>400</v>
      </c>
      <c r="F16" t="s">
        <v>25</v>
      </c>
      <c r="G16" s="52">
        <v>70</v>
      </c>
      <c r="H16" s="2" t="s">
        <v>31</v>
      </c>
      <c r="I16" s="45">
        <f>E16*(G16/100)</f>
        <v>280</v>
      </c>
      <c r="J16" s="2"/>
      <c r="L16" t="s">
        <v>71</v>
      </c>
      <c r="M16" s="28"/>
      <c r="N16" s="28"/>
      <c r="O16" s="28"/>
      <c r="P16" s="36">
        <v>6</v>
      </c>
      <c r="Q16" t="s">
        <v>83</v>
      </c>
    </row>
    <row r="17" spans="3:17" s="10" customFormat="1" ht="12.75">
      <c r="C17" s="10" t="s">
        <v>18</v>
      </c>
      <c r="G17" s="53">
        <v>2</v>
      </c>
      <c r="H17" s="10" t="s">
        <v>32</v>
      </c>
      <c r="I17" s="54">
        <f>G17</f>
        <v>2</v>
      </c>
      <c r="J17" s="14"/>
      <c r="L17"/>
      <c r="M17" s="28"/>
      <c r="N17" s="29"/>
      <c r="O17" s="28"/>
      <c r="P17" s="30"/>
      <c r="Q17"/>
    </row>
    <row r="18" spans="3:17" ht="12.75">
      <c r="C18" t="s">
        <v>19</v>
      </c>
      <c r="I18" s="45">
        <f>SUM(I16:I17)</f>
        <v>282</v>
      </c>
      <c r="J18" s="2"/>
      <c r="L18" t="s">
        <v>72</v>
      </c>
      <c r="M18" s="25"/>
      <c r="N18" s="31"/>
      <c r="O18" s="25"/>
      <c r="P18" s="50">
        <f>P16*P14</f>
        <v>4800</v>
      </c>
      <c r="Q18" s="1"/>
    </row>
    <row r="19" spans="9:17" ht="12.75">
      <c r="I19" s="8"/>
      <c r="J19" s="2"/>
      <c r="M19" s="25"/>
      <c r="N19" s="31"/>
      <c r="O19" s="25"/>
      <c r="P19" s="34"/>
      <c r="Q19" s="1"/>
    </row>
    <row r="20" spans="9:17" ht="12.75">
      <c r="I20" s="8"/>
      <c r="J20" s="2"/>
      <c r="L20" t="s">
        <v>104</v>
      </c>
      <c r="M20" s="25"/>
      <c r="N20" s="31"/>
      <c r="O20" s="81" t="s">
        <v>106</v>
      </c>
      <c r="P20" s="34"/>
      <c r="Q20" s="1"/>
    </row>
    <row r="21" spans="9:17" ht="12.75">
      <c r="I21" s="8"/>
      <c r="J21" s="2"/>
      <c r="L21" t="s">
        <v>105</v>
      </c>
      <c r="M21" s="25"/>
      <c r="N21" s="31"/>
      <c r="O21" s="81" t="s">
        <v>107</v>
      </c>
      <c r="P21" s="34"/>
      <c r="Q21" s="1"/>
    </row>
    <row r="22" spans="2:16" ht="12.75">
      <c r="B22" s="1" t="s">
        <v>54</v>
      </c>
      <c r="K22" s="1"/>
      <c r="L22" t="s">
        <v>74</v>
      </c>
      <c r="M22" s="28"/>
      <c r="N22" s="32" t="s">
        <v>73</v>
      </c>
      <c r="O22" s="32" t="s">
        <v>74</v>
      </c>
      <c r="P22" s="27" t="s">
        <v>78</v>
      </c>
    </row>
    <row r="23" spans="3:16" ht="12.75">
      <c r="C23" t="s">
        <v>20</v>
      </c>
      <c r="E23" s="39">
        <v>0</v>
      </c>
      <c r="F23" t="s">
        <v>25</v>
      </c>
      <c r="G23" s="40">
        <v>60</v>
      </c>
      <c r="H23" t="s">
        <v>31</v>
      </c>
      <c r="I23" s="42">
        <f>E23*(G23/100)</f>
        <v>0</v>
      </c>
      <c r="J23" s="2"/>
      <c r="M23" s="28"/>
      <c r="N23" s="33"/>
      <c r="O23" s="32"/>
      <c r="P23" s="30"/>
    </row>
    <row r="24" spans="3:16" ht="12.75">
      <c r="C24" t="s">
        <v>21</v>
      </c>
      <c r="E24" s="39">
        <v>0</v>
      </c>
      <c r="F24" t="s">
        <v>25</v>
      </c>
      <c r="G24" s="40">
        <v>28</v>
      </c>
      <c r="H24" t="s">
        <v>31</v>
      </c>
      <c r="I24" s="42">
        <f>E24*(G24/100)</f>
        <v>0</v>
      </c>
      <c r="J24" s="2"/>
      <c r="M24" s="28"/>
      <c r="N24" s="33"/>
      <c r="O24" s="32"/>
      <c r="P24" s="30"/>
    </row>
    <row r="25" spans="3:16" ht="12.75">
      <c r="C25" t="s">
        <v>36</v>
      </c>
      <c r="E25" s="71">
        <f>P25</f>
        <v>2232.5581395348836</v>
      </c>
      <c r="F25" t="s">
        <v>25</v>
      </c>
      <c r="G25" s="40">
        <v>5</v>
      </c>
      <c r="H25" t="s">
        <v>35</v>
      </c>
      <c r="I25" s="42">
        <f>E25*(G25/56)</f>
        <v>199.33554817275746</v>
      </c>
      <c r="J25" s="2"/>
      <c r="L25" s="47">
        <v>0.4</v>
      </c>
      <c r="M25" s="28"/>
      <c r="N25" s="48">
        <f aca="true" t="shared" si="0" ref="N25:N30">L25*P$18</f>
        <v>1920</v>
      </c>
      <c r="O25" s="49">
        <v>86</v>
      </c>
      <c r="P25" s="50">
        <f aca="true" t="shared" si="1" ref="P25:P30">N25/(O25/100)</f>
        <v>2232.5581395348836</v>
      </c>
    </row>
    <row r="26" spans="3:16" ht="12.75">
      <c r="C26" t="s">
        <v>39</v>
      </c>
      <c r="E26" s="46">
        <f>P26</f>
        <v>0</v>
      </c>
      <c r="F26" t="s">
        <v>25</v>
      </c>
      <c r="G26" s="40">
        <v>1</v>
      </c>
      <c r="H26" t="s">
        <v>35</v>
      </c>
      <c r="I26" s="42">
        <f>E26*(G26/32)</f>
        <v>0</v>
      </c>
      <c r="J26" s="2"/>
      <c r="L26" s="47">
        <v>0</v>
      </c>
      <c r="M26" s="28"/>
      <c r="N26" s="48">
        <f t="shared" si="0"/>
        <v>0</v>
      </c>
      <c r="O26" s="49">
        <v>86</v>
      </c>
      <c r="P26" s="50">
        <f t="shared" si="1"/>
        <v>0</v>
      </c>
    </row>
    <row r="27" spans="3:16" ht="12.75">
      <c r="C27" t="s">
        <v>63</v>
      </c>
      <c r="E27" s="46">
        <f>P27</f>
        <v>260.8695652173913</v>
      </c>
      <c r="F27" t="s">
        <v>25</v>
      </c>
      <c r="G27" s="40">
        <v>475</v>
      </c>
      <c r="H27" t="s">
        <v>33</v>
      </c>
      <c r="I27" s="42">
        <f>E27*G27/2000</f>
        <v>61.95652173913044</v>
      </c>
      <c r="L27" s="47">
        <v>0.05</v>
      </c>
      <c r="M27" s="28"/>
      <c r="N27" s="48">
        <f t="shared" si="0"/>
        <v>240</v>
      </c>
      <c r="O27" s="49">
        <v>92</v>
      </c>
      <c r="P27" s="50">
        <f t="shared" si="1"/>
        <v>260.8695652173913</v>
      </c>
    </row>
    <row r="28" spans="3:16" ht="12.75">
      <c r="C28" t="s">
        <v>64</v>
      </c>
      <c r="E28" s="46">
        <f aca="true" t="shared" si="2" ref="E28:E36">P28</f>
        <v>0</v>
      </c>
      <c r="F28" t="s">
        <v>25</v>
      </c>
      <c r="G28" s="40">
        <v>0</v>
      </c>
      <c r="H28" t="s">
        <v>33</v>
      </c>
      <c r="I28" s="42">
        <f>E28*G28/2000</f>
        <v>0</v>
      </c>
      <c r="L28" s="47">
        <v>0</v>
      </c>
      <c r="M28" s="28"/>
      <c r="N28" s="48">
        <f t="shared" si="0"/>
        <v>0</v>
      </c>
      <c r="O28" s="49">
        <v>92</v>
      </c>
      <c r="P28" s="50">
        <f t="shared" si="1"/>
        <v>0</v>
      </c>
    </row>
    <row r="29" spans="3:16" ht="12.75">
      <c r="C29" t="s">
        <v>61</v>
      </c>
      <c r="E29" s="46">
        <f t="shared" si="2"/>
        <v>1894.7368421052631</v>
      </c>
      <c r="F29" t="s">
        <v>25</v>
      </c>
      <c r="G29" s="40">
        <v>80</v>
      </c>
      <c r="H29" t="s">
        <v>33</v>
      </c>
      <c r="I29" s="42">
        <f>E29*(G29/2000)</f>
        <v>75.78947368421052</v>
      </c>
      <c r="J29" s="2"/>
      <c r="L29" s="47">
        <v>0.15</v>
      </c>
      <c r="M29" s="28"/>
      <c r="N29" s="48">
        <f t="shared" si="0"/>
        <v>720</v>
      </c>
      <c r="O29" s="49">
        <v>38</v>
      </c>
      <c r="P29" s="50">
        <f t="shared" si="1"/>
        <v>1894.7368421052631</v>
      </c>
    </row>
    <row r="30" spans="3:16" ht="12.75">
      <c r="C30" t="s">
        <v>62</v>
      </c>
      <c r="E30" s="70">
        <f t="shared" si="2"/>
        <v>0</v>
      </c>
      <c r="F30" t="s">
        <v>25</v>
      </c>
      <c r="G30" s="40">
        <v>35</v>
      </c>
      <c r="H30" t="s">
        <v>33</v>
      </c>
      <c r="I30" s="42">
        <f>E30*(G30/2000)</f>
        <v>0</v>
      </c>
      <c r="L30" s="47">
        <v>0</v>
      </c>
      <c r="M30" s="28"/>
      <c r="N30" s="48">
        <f t="shared" si="0"/>
        <v>0</v>
      </c>
      <c r="O30" s="49">
        <v>38</v>
      </c>
      <c r="P30" s="50">
        <f t="shared" si="1"/>
        <v>0</v>
      </c>
    </row>
    <row r="31" spans="3:16" ht="12.75">
      <c r="C31" t="s">
        <v>2</v>
      </c>
      <c r="E31" s="60">
        <v>1</v>
      </c>
      <c r="F31" t="s">
        <v>55</v>
      </c>
      <c r="G31" s="40">
        <v>65</v>
      </c>
      <c r="H31" t="s">
        <v>34</v>
      </c>
      <c r="I31" s="42">
        <f>E31*G31</f>
        <v>65</v>
      </c>
      <c r="J31" s="2"/>
      <c r="L31" s="11"/>
      <c r="N31" s="19"/>
      <c r="P31" s="72"/>
    </row>
    <row r="32" spans="3:9" ht="12.75">
      <c r="C32" t="s">
        <v>65</v>
      </c>
      <c r="E32" s="60">
        <f t="shared" si="2"/>
        <v>0</v>
      </c>
      <c r="F32" t="s">
        <v>25</v>
      </c>
      <c r="G32" s="40">
        <v>5</v>
      </c>
      <c r="H32" t="s">
        <v>31</v>
      </c>
      <c r="I32" s="42">
        <f>E32*G32/100</f>
        <v>0</v>
      </c>
    </row>
    <row r="33" spans="3:10" ht="12.75">
      <c r="C33" t="s">
        <v>22</v>
      </c>
      <c r="E33" s="60">
        <f t="shared" si="2"/>
        <v>0</v>
      </c>
      <c r="F33" t="s">
        <v>25</v>
      </c>
      <c r="G33" s="40">
        <v>18</v>
      </c>
      <c r="H33" t="s">
        <v>31</v>
      </c>
      <c r="I33" s="42">
        <f>E33*(G33/100)</f>
        <v>0</v>
      </c>
      <c r="J33" s="2"/>
    </row>
    <row r="34" spans="3:16" s="10" customFormat="1" ht="12.75">
      <c r="C34" s="10" t="s">
        <v>3</v>
      </c>
      <c r="E34" s="60">
        <f t="shared" si="2"/>
        <v>0</v>
      </c>
      <c r="F34" s="10" t="s">
        <v>25</v>
      </c>
      <c r="G34" s="41">
        <v>13</v>
      </c>
      <c r="H34" s="10" t="s">
        <v>31</v>
      </c>
      <c r="I34" s="43">
        <f>E34*(G34/100)</f>
        <v>0</v>
      </c>
      <c r="J34" s="14"/>
      <c r="K34"/>
      <c r="L34" s="11"/>
      <c r="N34" s="23"/>
      <c r="P34" s="13"/>
    </row>
    <row r="35" spans="3:16" s="10" customFormat="1" ht="12.75">
      <c r="C35" s="10" t="s">
        <v>42</v>
      </c>
      <c r="E35" s="60">
        <f t="shared" si="2"/>
        <v>0</v>
      </c>
      <c r="F35" s="10" t="s">
        <v>25</v>
      </c>
      <c r="G35" s="41">
        <v>32</v>
      </c>
      <c r="H35" s="10" t="s">
        <v>31</v>
      </c>
      <c r="I35" s="43">
        <f>E35*(G35/100)</f>
        <v>0</v>
      </c>
      <c r="J35" s="14"/>
      <c r="K35"/>
      <c r="L35" s="11"/>
      <c r="N35" s="23"/>
      <c r="P35" s="13"/>
    </row>
    <row r="36" spans="3:16" s="10" customFormat="1" ht="12.75">
      <c r="C36" s="10" t="s">
        <v>41</v>
      </c>
      <c r="E36" s="60">
        <f t="shared" si="2"/>
        <v>0</v>
      </c>
      <c r="F36" s="10" t="s">
        <v>25</v>
      </c>
      <c r="G36" s="41">
        <v>0.15</v>
      </c>
      <c r="H36" s="10" t="s">
        <v>31</v>
      </c>
      <c r="I36" s="44">
        <f>E36*(G36/100)</f>
        <v>0</v>
      </c>
      <c r="J36" s="14"/>
      <c r="L36" s="11"/>
      <c r="N36" s="23"/>
      <c r="P36" s="9"/>
    </row>
    <row r="37" spans="3:16" ht="12.75">
      <c r="C37" t="s">
        <v>4</v>
      </c>
      <c r="I37" s="45">
        <f>SUM(I23:I36)</f>
        <v>402.0815435960984</v>
      </c>
      <c r="J37" s="2"/>
      <c r="P37" s="8"/>
    </row>
    <row r="38" spans="3:16" ht="12.75">
      <c r="C38" t="s">
        <v>79</v>
      </c>
      <c r="I38" s="45">
        <f>I37/P14</f>
        <v>0.5026019294951231</v>
      </c>
      <c r="J38" s="2"/>
      <c r="P38" s="8"/>
    </row>
    <row r="39" spans="9:16" ht="12.75">
      <c r="I39" s="8"/>
      <c r="J39" s="2"/>
      <c r="P39" s="8"/>
    </row>
    <row r="40" spans="2:11" ht="12.75">
      <c r="B40" s="1" t="s">
        <v>57</v>
      </c>
      <c r="K40" s="1"/>
    </row>
    <row r="41" spans="3:16" ht="12.75">
      <c r="C41" t="s">
        <v>12</v>
      </c>
      <c r="E41" s="39">
        <v>1</v>
      </c>
      <c r="F41" t="s">
        <v>27</v>
      </c>
      <c r="G41" s="6"/>
      <c r="H41" s="2"/>
      <c r="I41" s="45">
        <f>I12*(E41/100)</f>
        <v>10.8</v>
      </c>
      <c r="J41" s="2"/>
      <c r="N41" s="6"/>
      <c r="P41" s="8"/>
    </row>
    <row r="42" spans="3:16" ht="12.75">
      <c r="C42" t="s">
        <v>23</v>
      </c>
      <c r="E42" s="51">
        <f>I18</f>
        <v>282</v>
      </c>
      <c r="F42" t="s">
        <v>56</v>
      </c>
      <c r="G42" s="39">
        <v>10</v>
      </c>
      <c r="H42" s="2" t="s">
        <v>37</v>
      </c>
      <c r="I42" s="45">
        <f>E42*(G42/100)*(P$12/365)</f>
        <v>24.723287671232878</v>
      </c>
      <c r="J42" s="2"/>
      <c r="K42" t="s">
        <v>88</v>
      </c>
      <c r="P42" s="8"/>
    </row>
    <row r="43" spans="3:16" ht="12.75">
      <c r="C43" t="s">
        <v>24</v>
      </c>
      <c r="E43" s="51">
        <f>0.5*I37</f>
        <v>201.0407717980492</v>
      </c>
      <c r="F43" t="s">
        <v>56</v>
      </c>
      <c r="G43" s="39">
        <v>10</v>
      </c>
      <c r="H43" s="2" t="s">
        <v>37</v>
      </c>
      <c r="I43" s="45">
        <f>(E43)*(G43/100)*(P$12/365)</f>
        <v>17.62549232202075</v>
      </c>
      <c r="J43" s="2"/>
      <c r="K43" t="s">
        <v>88</v>
      </c>
      <c r="M43" s="7"/>
      <c r="P43" s="8"/>
    </row>
    <row r="44" spans="3:16" ht="12.75">
      <c r="C44" t="s">
        <v>5</v>
      </c>
      <c r="E44" s="39">
        <f>5*P12</f>
        <v>1600</v>
      </c>
      <c r="F44" t="s">
        <v>25</v>
      </c>
      <c r="G44" s="52">
        <v>35</v>
      </c>
      <c r="H44" s="2" t="s">
        <v>33</v>
      </c>
      <c r="I44" s="45">
        <f>E44*(G44/2000)</f>
        <v>28.000000000000004</v>
      </c>
      <c r="J44" s="2"/>
      <c r="N44" s="8"/>
      <c r="P44" s="8"/>
    </row>
    <row r="45" spans="3:16" ht="12.75">
      <c r="C45" t="s">
        <v>6</v>
      </c>
      <c r="G45" s="52">
        <v>3</v>
      </c>
      <c r="H45" s="2" t="s">
        <v>32</v>
      </c>
      <c r="I45" s="45">
        <f>G45</f>
        <v>3</v>
      </c>
      <c r="J45" s="2"/>
      <c r="L45" s="6"/>
      <c r="N45" s="8"/>
      <c r="P45" s="8"/>
    </row>
    <row r="46" spans="3:16" ht="12.75">
      <c r="C46" t="s">
        <v>15</v>
      </c>
      <c r="G46" s="52">
        <v>14</v>
      </c>
      <c r="H46" s="2" t="s">
        <v>32</v>
      </c>
      <c r="I46" s="45">
        <f>G46</f>
        <v>14</v>
      </c>
      <c r="J46" s="2"/>
      <c r="L46" s="6"/>
      <c r="N46" s="8"/>
      <c r="P46" s="8"/>
    </row>
    <row r="47" spans="3:16" ht="12.75">
      <c r="C47" t="s">
        <v>7</v>
      </c>
      <c r="G47" s="52">
        <v>3</v>
      </c>
      <c r="H47" s="2" t="s">
        <v>32</v>
      </c>
      <c r="I47" s="45">
        <f>G47</f>
        <v>3</v>
      </c>
      <c r="J47" s="2"/>
      <c r="L47" s="6"/>
      <c r="N47" s="8"/>
      <c r="P47" s="8"/>
    </row>
    <row r="48" spans="3:16" ht="12.75">
      <c r="C48" t="s">
        <v>16</v>
      </c>
      <c r="G48" s="52">
        <v>5</v>
      </c>
      <c r="H48" t="s">
        <v>32</v>
      </c>
      <c r="I48" s="45">
        <f>G48</f>
        <v>5</v>
      </c>
      <c r="L48" s="6"/>
      <c r="N48" s="8"/>
      <c r="P48" s="8"/>
    </row>
    <row r="49" spans="3:16" s="10" customFormat="1" ht="12.75">
      <c r="C49" s="10" t="s">
        <v>30</v>
      </c>
      <c r="G49" s="53">
        <v>10</v>
      </c>
      <c r="H49" s="14" t="s">
        <v>32</v>
      </c>
      <c r="I49" s="54">
        <f>G49</f>
        <v>10</v>
      </c>
      <c r="J49" s="14"/>
      <c r="L49" s="22"/>
      <c r="N49" s="13"/>
      <c r="P49" s="9"/>
    </row>
    <row r="50" spans="3:16" ht="12.75">
      <c r="C50" t="s">
        <v>9</v>
      </c>
      <c r="I50" s="45">
        <f>SUM(I41:I49)</f>
        <v>116.14877999325363</v>
      </c>
      <c r="J50" s="2"/>
      <c r="P50" s="8"/>
    </row>
    <row r="51" s="5" customFormat="1" ht="12.75">
      <c r="B51" s="5" t="s">
        <v>58</v>
      </c>
    </row>
    <row r="52" spans="3:16" ht="12.75">
      <c r="C52" t="s">
        <v>94</v>
      </c>
      <c r="E52" s="8"/>
      <c r="G52" s="55">
        <v>0.35</v>
      </c>
      <c r="H52" s="76"/>
      <c r="I52" s="77"/>
      <c r="L52" s="8"/>
      <c r="N52" s="16"/>
      <c r="O52" s="21"/>
      <c r="P52" s="4"/>
    </row>
    <row r="53" spans="3:16" ht="12.75">
      <c r="C53" t="s">
        <v>93</v>
      </c>
      <c r="G53" s="46">
        <f>P12</f>
        <v>320</v>
      </c>
      <c r="H53" t="s">
        <v>98</v>
      </c>
      <c r="I53" s="56">
        <f>G52*G53</f>
        <v>112</v>
      </c>
      <c r="J53" s="2"/>
      <c r="P53" s="12"/>
    </row>
    <row r="54" spans="9:16" ht="12.75">
      <c r="I54" s="8"/>
      <c r="J54" s="2"/>
      <c r="P54" s="8"/>
    </row>
    <row r="55" spans="2:8" s="5" customFormat="1" ht="12.75">
      <c r="B55" s="5" t="s">
        <v>14</v>
      </c>
      <c r="H55" s="5" t="s">
        <v>40</v>
      </c>
    </row>
    <row r="56" spans="3:16" ht="12.75">
      <c r="C56" t="s">
        <v>28</v>
      </c>
      <c r="I56" s="45">
        <f>I12</f>
        <v>1080</v>
      </c>
      <c r="J56" s="2"/>
      <c r="P56" s="8"/>
    </row>
    <row r="57" spans="3:16" s="10" customFormat="1" ht="12.75">
      <c r="C57" s="10" t="s">
        <v>29</v>
      </c>
      <c r="I57" s="54">
        <f>I18+I37+I50</f>
        <v>800.230323589352</v>
      </c>
      <c r="J57" s="14"/>
      <c r="P57" s="9"/>
    </row>
    <row r="58" spans="3:16" s="5" customFormat="1" ht="12.75">
      <c r="C58" s="5" t="s">
        <v>68</v>
      </c>
      <c r="H58" s="5" t="s">
        <v>32</v>
      </c>
      <c r="I58" s="56">
        <f>I56-I57</f>
        <v>279.769676410648</v>
      </c>
      <c r="J58" s="24"/>
      <c r="P58" s="12"/>
    </row>
    <row r="60" spans="3:16" s="10" customFormat="1" ht="12.75">
      <c r="C60" s="10" t="s">
        <v>44</v>
      </c>
      <c r="I60" s="54">
        <f>I53</f>
        <v>112</v>
      </c>
      <c r="J60" s="14"/>
      <c r="P60" s="9"/>
    </row>
    <row r="61" spans="3:16" s="5" customFormat="1" ht="12.75">
      <c r="C61" s="5" t="s">
        <v>38</v>
      </c>
      <c r="H61" s="5" t="s">
        <v>32</v>
      </c>
      <c r="I61" s="56">
        <f>I58-I60</f>
        <v>167.769676410648</v>
      </c>
      <c r="J61" s="24"/>
      <c r="P61" s="12"/>
    </row>
    <row r="62" spans="9:16" ht="12.75">
      <c r="I62" s="12"/>
      <c r="J62" s="2"/>
      <c r="P62" s="12"/>
    </row>
    <row r="63" spans="3:16" ht="12.75">
      <c r="C63" t="s">
        <v>80</v>
      </c>
      <c r="I63" s="58">
        <f>(I57+I60)/(E11/100)</f>
        <v>76.019193632446</v>
      </c>
      <c r="P63" s="17"/>
    </row>
    <row r="64" spans="3:16" ht="12.75">
      <c r="C64" t="s">
        <v>60</v>
      </c>
      <c r="I64" s="59">
        <f>(I57+I60-I49)/(E11/100)</f>
        <v>75.18586029911266</v>
      </c>
      <c r="P64" s="19"/>
    </row>
    <row r="65" spans="2:3" ht="12.75">
      <c r="B65" t="s">
        <v>10</v>
      </c>
      <c r="C65" t="s">
        <v>59</v>
      </c>
    </row>
    <row r="67" spans="2:9" ht="12.75">
      <c r="B67" s="5"/>
      <c r="C67" t="s">
        <v>81</v>
      </c>
      <c r="I67" s="59">
        <f>(I12-I37-I50-I53-I17)/E16*100</f>
        <v>111.942419102662</v>
      </c>
    </row>
    <row r="68" spans="7:9" ht="12.75">
      <c r="G68" s="17"/>
      <c r="H68" s="21"/>
      <c r="I68" s="17"/>
    </row>
    <row r="69" ht="12.75">
      <c r="C69" t="s">
        <v>92</v>
      </c>
    </row>
    <row r="70" ht="12.75">
      <c r="A70" s="10" t="s">
        <v>75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UWEX-Cooperative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Vatthauer</dc:creator>
  <cp:keywords/>
  <dc:description/>
  <cp:lastModifiedBy>Jenny Vanderlin</cp:lastModifiedBy>
  <cp:lastPrinted>2001-02-15T23:35:08Z</cp:lastPrinted>
  <dcterms:created xsi:type="dcterms:W3CDTF">1997-07-15T16:49:51Z</dcterms:created>
  <dcterms:modified xsi:type="dcterms:W3CDTF">2008-09-12T14:09:59Z</dcterms:modified>
  <cp:category/>
  <cp:version/>
  <cp:contentType/>
  <cp:contentStatus/>
</cp:coreProperties>
</file>